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24666f4bd078e6d/Documentos/2 Propuesta Tecnologias Tratamiento y Piscicultura/Actualizacion 2023/Contenidos 23/"/>
    </mc:Choice>
  </mc:AlternateContent>
  <xr:revisionPtr revIDLastSave="15" documentId="13_ncr:1_{77D3BAAD-DBE5-49E9-AC3D-B58031518912}" xr6:coauthVersionLast="47" xr6:coauthVersionMax="47" xr10:uidLastSave="{0FC9ECBC-8D70-449C-A969-C50040D72B96}"/>
  <bookViews>
    <workbookView xWindow="-120" yWindow="-120" windowWidth="19440" windowHeight="15000" tabRatio="812" activeTab="1" xr2:uid="{00000000-000D-0000-FFFF-FFFF00000000}"/>
  </bookViews>
  <sheets>
    <sheet name="Parrilla de Aireación" sheetId="30" r:id="rId1"/>
    <sheet name="Parab Tilapias " sheetId="6" r:id="rId2"/>
    <sheet name="Suministro de Alimento y O2" sheetId="15" r:id="rId3"/>
    <sheet name="Agua-T(°C)" sheetId="20" r:id="rId4"/>
    <sheet name="Tuberia Aireación Estanques" sheetId="22" r:id="rId5"/>
    <sheet name="Tubería hacia Filtro" sheetId="28" r:id="rId6"/>
    <sheet name="Tuberías Varias" sheetId="25" r:id="rId7"/>
    <sheet name="Alternativas Bombas Aireación" sheetId="31" r:id="rId8"/>
  </sheets>
  <definedNames>
    <definedName name="_Hlk150933546" localSheetId="1">'Parab Tilapias '!$B$82</definedName>
    <definedName name="_xlnm.Print_Area" localSheetId="1">'Parab Tilapias '!$C$4:$F$114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0" i="6" l="1"/>
  <c r="H13" i="6" l="1"/>
  <c r="G81" i="6"/>
  <c r="G82" i="6" s="1"/>
  <c r="H85" i="6"/>
  <c r="E81" i="6"/>
  <c r="E82" i="6" s="1"/>
  <c r="E105" i="6"/>
  <c r="G86" i="6" l="1"/>
  <c r="H82" i="6"/>
  <c r="H81" i="6"/>
  <c r="E86" i="6"/>
  <c r="H61" i="6"/>
  <c r="H60" i="6"/>
  <c r="G62" i="6"/>
  <c r="E62" i="6"/>
  <c r="L31" i="15"/>
  <c r="H86" i="6" l="1"/>
  <c r="H62" i="6"/>
  <c r="E137" i="6"/>
  <c r="G137" i="6" l="1"/>
  <c r="G135" i="6" s="1"/>
  <c r="E135" i="6"/>
  <c r="H135" i="6" l="1"/>
  <c r="H137" i="6"/>
  <c r="E47" i="22" l="1"/>
  <c r="E37" i="22"/>
  <c r="G185" i="6" l="1"/>
  <c r="E185" i="6"/>
  <c r="H186" i="6"/>
  <c r="H185" i="6" l="1"/>
  <c r="G178" i="6"/>
  <c r="H182" i="6"/>
  <c r="G183" i="6"/>
  <c r="E183" i="6"/>
  <c r="G6" i="25" s="1"/>
  <c r="H183" i="6" l="1"/>
  <c r="E178" i="6"/>
  <c r="H178" i="6" s="1"/>
  <c r="G166" i="6" l="1"/>
  <c r="G167" i="6"/>
  <c r="E167" i="6"/>
  <c r="E166" i="6"/>
  <c r="B63" i="25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G9" i="25"/>
  <c r="H58" i="25"/>
  <c r="H56" i="25"/>
  <c r="H55" i="25"/>
  <c r="H53" i="25"/>
  <c r="H51" i="25"/>
  <c r="H43" i="25"/>
  <c r="H40" i="25"/>
  <c r="H32" i="25"/>
  <c r="H31" i="25"/>
  <c r="H29" i="25"/>
  <c r="H20" i="25"/>
  <c r="H17" i="25"/>
  <c r="H8" i="25"/>
  <c r="H5" i="25"/>
  <c r="G54" i="25"/>
  <c r="G42" i="25"/>
  <c r="G19" i="25"/>
  <c r="G7" i="25"/>
  <c r="H32" i="28"/>
  <c r="H31" i="28"/>
  <c r="H29" i="28"/>
  <c r="H20" i="28"/>
  <c r="H19" i="28"/>
  <c r="H17" i="28"/>
  <c r="H10" i="28"/>
  <c r="H9" i="28"/>
  <c r="H7" i="28"/>
  <c r="H5" i="28"/>
  <c r="G19" i="28"/>
  <c r="H49" i="22"/>
  <c r="H46" i="22"/>
  <c r="H39" i="22"/>
  <c r="H38" i="22"/>
  <c r="H36" i="22"/>
  <c r="H29" i="22"/>
  <c r="H28" i="22"/>
  <c r="H26" i="22"/>
  <c r="H18" i="22"/>
  <c r="H17" i="22"/>
  <c r="H15" i="22"/>
  <c r="H8" i="22"/>
  <c r="H7" i="22"/>
  <c r="H5" i="22"/>
  <c r="G48" i="22"/>
  <c r="G23" i="30"/>
  <c r="H42" i="30"/>
  <c r="H40" i="30"/>
  <c r="H32" i="30"/>
  <c r="H31" i="30"/>
  <c r="H30" i="30"/>
  <c r="H26" i="30"/>
  <c r="H25" i="30"/>
  <c r="H22" i="30"/>
  <c r="H19" i="30"/>
  <c r="H13" i="30"/>
  <c r="H12" i="30"/>
  <c r="H11" i="30"/>
  <c r="H8" i="30"/>
  <c r="H4" i="30"/>
  <c r="G27" i="30"/>
  <c r="G28" i="30" s="1"/>
  <c r="G20" i="30"/>
  <c r="G21" i="30" s="1"/>
  <c r="G5" i="30"/>
  <c r="G38" i="30" s="1"/>
  <c r="H220" i="6"/>
  <c r="H216" i="6"/>
  <c r="H210" i="6"/>
  <c r="H206" i="6"/>
  <c r="H205" i="6"/>
  <c r="H201" i="6"/>
  <c r="H200" i="6"/>
  <c r="H189" i="6"/>
  <c r="H181" i="6"/>
  <c r="H173" i="6"/>
  <c r="H172" i="6"/>
  <c r="H165" i="6"/>
  <c r="H161" i="6"/>
  <c r="H160" i="6"/>
  <c r="H158" i="6"/>
  <c r="H154" i="6"/>
  <c r="H152" i="6"/>
  <c r="H146" i="6"/>
  <c r="H141" i="6"/>
  <c r="H139" i="6"/>
  <c r="H132" i="6"/>
  <c r="H131" i="6"/>
  <c r="H126" i="6"/>
  <c r="H125" i="6"/>
  <c r="H123" i="6"/>
  <c r="H119" i="6"/>
  <c r="H118" i="6"/>
  <c r="H116" i="6"/>
  <c r="H113" i="6"/>
  <c r="H111" i="6"/>
  <c r="H109" i="6"/>
  <c r="H107" i="6"/>
  <c r="H105" i="6"/>
  <c r="H104" i="6"/>
  <c r="G221" i="6"/>
  <c r="G202" i="6"/>
  <c r="G203" i="6" s="1"/>
  <c r="G163" i="6"/>
  <c r="G162" i="6"/>
  <c r="G150" i="6"/>
  <c r="G128" i="6"/>
  <c r="G127" i="6"/>
  <c r="G130" i="6" s="1"/>
  <c r="G138" i="6" s="1"/>
  <c r="G121" i="6"/>
  <c r="G129" i="6" s="1"/>
  <c r="G120" i="6"/>
  <c r="G36" i="6"/>
  <c r="G29" i="6"/>
  <c r="H92" i="6"/>
  <c r="H91" i="6"/>
  <c r="H90" i="6"/>
  <c r="H89" i="6"/>
  <c r="H78" i="6"/>
  <c r="H77" i="6"/>
  <c r="H75" i="6"/>
  <c r="H72" i="6"/>
  <c r="H71" i="6"/>
  <c r="H69" i="6"/>
  <c r="H58" i="6"/>
  <c r="H57" i="6"/>
  <c r="H56" i="6"/>
  <c r="H55" i="6"/>
  <c r="H54" i="6"/>
  <c r="H37" i="6"/>
  <c r="H32" i="6"/>
  <c r="H26" i="6"/>
  <c r="H24" i="6"/>
  <c r="H21" i="6"/>
  <c r="H19" i="6"/>
  <c r="H18" i="6"/>
  <c r="H16" i="6"/>
  <c r="H14" i="6"/>
  <c r="G94" i="6"/>
  <c r="G93" i="6"/>
  <c r="G73" i="6"/>
  <c r="G25" i="6"/>
  <c r="G27" i="6" s="1"/>
  <c r="G23" i="6"/>
  <c r="G20" i="6"/>
  <c r="G15" i="6"/>
  <c r="G17" i="6" s="1"/>
  <c r="E202" i="6"/>
  <c r="E128" i="6"/>
  <c r="G213" i="6" l="1"/>
  <c r="G30" i="25"/>
  <c r="G215" i="6"/>
  <c r="G176" i="6"/>
  <c r="H167" i="6"/>
  <c r="G168" i="6"/>
  <c r="G169" i="6" s="1"/>
  <c r="G170" i="6" s="1"/>
  <c r="G95" i="6"/>
  <c r="G151" i="6" s="1"/>
  <c r="G153" i="6" s="1"/>
  <c r="G41" i="25"/>
  <c r="G52" i="25" s="1"/>
  <c r="G57" i="25" s="1"/>
  <c r="G24" i="30"/>
  <c r="H128" i="6"/>
  <c r="G29" i="30"/>
  <c r="G33" i="30" s="1"/>
  <c r="G10" i="25"/>
  <c r="G18" i="25"/>
  <c r="G21" i="25" s="1"/>
  <c r="G23" i="25" s="1"/>
  <c r="G11" i="25"/>
  <c r="G217" i="6"/>
  <c r="G155" i="6"/>
  <c r="H202" i="6"/>
  <c r="G96" i="6"/>
  <c r="G175" i="6"/>
  <c r="G188" i="6" s="1"/>
  <c r="G76" i="6"/>
  <c r="E15" i="6"/>
  <c r="H15" i="6" s="1"/>
  <c r="G177" i="6" l="1"/>
  <c r="G179" i="6" s="1"/>
  <c r="G6" i="28"/>
  <c r="G8" i="28" s="1"/>
  <c r="G99" i="6"/>
  <c r="G100" i="6"/>
  <c r="G101" i="6"/>
  <c r="G45" i="25"/>
  <c r="G44" i="25"/>
  <c r="G46" i="25" s="1"/>
  <c r="G22" i="25"/>
  <c r="G25" i="25"/>
  <c r="G13" i="25"/>
  <c r="G15" i="25"/>
  <c r="G14" i="25"/>
  <c r="G156" i="6"/>
  <c r="G164" i="6"/>
  <c r="P30" i="15"/>
  <c r="P27" i="15"/>
  <c r="P24" i="15"/>
  <c r="P21" i="15"/>
  <c r="G30" i="28" l="1"/>
  <c r="G34" i="28" s="1"/>
  <c r="G147" i="6"/>
  <c r="G148" i="6" s="1"/>
  <c r="G16" i="25"/>
  <c r="G18" i="28"/>
  <c r="G12" i="28"/>
  <c r="G11" i="28"/>
  <c r="G4" i="25"/>
  <c r="G49" i="25"/>
  <c r="G48" i="25"/>
  <c r="E20" i="6"/>
  <c r="H20" i="6" l="1"/>
  <c r="G33" i="28"/>
  <c r="G35" i="28" s="1"/>
  <c r="G3" i="25"/>
  <c r="G21" i="28"/>
  <c r="G22" i="28"/>
  <c r="G13" i="28"/>
  <c r="G39" i="25"/>
  <c r="E121" i="6"/>
  <c r="H121" i="6" s="1"/>
  <c r="G15" i="28" l="1"/>
  <c r="G4" i="28" s="1"/>
  <c r="G37" i="28"/>
  <c r="G23" i="28"/>
  <c r="E129" i="6"/>
  <c r="H129" i="6" s="1"/>
  <c r="E155" i="6"/>
  <c r="E73" i="6"/>
  <c r="H73" i="6" s="1"/>
  <c r="G27" i="28" l="1"/>
  <c r="G26" i="28"/>
  <c r="G25" i="28"/>
  <c r="G28" i="28"/>
  <c r="E164" i="6"/>
  <c r="H164" i="6" s="1"/>
  <c r="H155" i="6"/>
  <c r="L8" i="15"/>
  <c r="L9" i="15"/>
  <c r="L10" i="15"/>
  <c r="L11" i="15"/>
  <c r="U11" i="15"/>
  <c r="V11" i="15"/>
  <c r="V14" i="15" s="1"/>
  <c r="V17" i="15" s="1"/>
  <c r="V20" i="15" s="1"/>
  <c r="V23" i="15" s="1"/>
  <c r="V26" i="15" s="1"/>
  <c r="V29" i="15" s="1"/>
  <c r="V9" i="15" s="1"/>
  <c r="V12" i="15" s="1"/>
  <c r="V15" i="15" s="1"/>
  <c r="V18" i="15" s="1"/>
  <c r="V21" i="15" s="1"/>
  <c r="V24" i="15" s="1"/>
  <c r="V27" i="15" s="1"/>
  <c r="V30" i="15" s="1"/>
  <c r="V10" i="15" s="1"/>
  <c r="V13" i="15" s="1"/>
  <c r="V16" i="15" s="1"/>
  <c r="V19" i="15" s="1"/>
  <c r="V22" i="15" s="1"/>
  <c r="V25" i="15" s="1"/>
  <c r="V28" i="15" s="1"/>
  <c r="V31" i="15" s="1"/>
  <c r="D12" i="15"/>
  <c r="E12" i="15" s="1"/>
  <c r="L12" i="15"/>
  <c r="L13" i="15"/>
  <c r="L16" i="15" s="1"/>
  <c r="L14" i="15"/>
  <c r="D15" i="15"/>
  <c r="L15" i="15"/>
  <c r="D16" i="15"/>
  <c r="E15" i="15" s="1"/>
  <c r="E16" i="15"/>
  <c r="F15" i="15" s="1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H59" i="6"/>
  <c r="E35" i="15"/>
  <c r="G16" i="28" l="1"/>
  <c r="U14" i="15"/>
  <c r="U17" i="15" s="1"/>
  <c r="K20" i="15"/>
  <c r="K29" i="15"/>
  <c r="K9" i="15"/>
  <c r="Q9" i="15" s="1"/>
  <c r="F12" i="15"/>
  <c r="K12" i="15"/>
  <c r="E17" i="15"/>
  <c r="K18" i="15"/>
  <c r="K24" i="15"/>
  <c r="K8" i="15"/>
  <c r="Q8" i="15" s="1"/>
  <c r="K14" i="15"/>
  <c r="Q14" i="15" s="1"/>
  <c r="D17" i="15"/>
  <c r="K11" i="15"/>
  <c r="K26" i="15"/>
  <c r="K17" i="15"/>
  <c r="Y17" i="15" s="1"/>
  <c r="K23" i="15"/>
  <c r="K21" i="15"/>
  <c r="Q21" i="15" s="1"/>
  <c r="Y20" i="15"/>
  <c r="K15" i="15"/>
  <c r="Q15" i="15" s="1"/>
  <c r="K30" i="15"/>
  <c r="K27" i="15"/>
  <c r="E54" i="25"/>
  <c r="H54" i="25" s="1"/>
  <c r="G22" i="6" l="1"/>
  <c r="K31" i="15"/>
  <c r="G79" i="6" s="1"/>
  <c r="U20" i="15"/>
  <c r="U23" i="15" s="1"/>
  <c r="U26" i="15" s="1"/>
  <c r="U29" i="15" s="1"/>
  <c r="M20" i="15"/>
  <c r="P20" i="15" s="1"/>
  <c r="Q20" i="15"/>
  <c r="M29" i="15"/>
  <c r="P29" i="15" s="1"/>
  <c r="Y29" i="15"/>
  <c r="Q29" i="15"/>
  <c r="N20" i="15"/>
  <c r="Y21" i="15"/>
  <c r="M11" i="15"/>
  <c r="P11" i="15" s="1"/>
  <c r="Q11" i="15"/>
  <c r="Y11" i="15"/>
  <c r="Y18" i="15"/>
  <c r="M18" i="15"/>
  <c r="P18" i="15" s="1"/>
  <c r="Q18" i="15"/>
  <c r="K13" i="15"/>
  <c r="K16" i="15"/>
  <c r="Q16" i="15" s="1"/>
  <c r="F17" i="15"/>
  <c r="K25" i="15"/>
  <c r="K28" i="15"/>
  <c r="K35" i="15"/>
  <c r="K19" i="15"/>
  <c r="K10" i="15"/>
  <c r="K22" i="15"/>
  <c r="Q22" i="15" s="1"/>
  <c r="Q30" i="15"/>
  <c r="Y30" i="15"/>
  <c r="M23" i="15"/>
  <c r="P23" i="15" s="1"/>
  <c r="Q23" i="15"/>
  <c r="Y23" i="15"/>
  <c r="Y9" i="15"/>
  <c r="M9" i="15"/>
  <c r="P9" i="15" s="1"/>
  <c r="M15" i="15"/>
  <c r="P15" i="15" s="1"/>
  <c r="Y15" i="15"/>
  <c r="M17" i="15"/>
  <c r="P17" i="15" s="1"/>
  <c r="Q17" i="15"/>
  <c r="M14" i="15"/>
  <c r="P14" i="15" s="1"/>
  <c r="Y14" i="15"/>
  <c r="Y12" i="15"/>
  <c r="M12" i="15"/>
  <c r="P12" i="15" s="1"/>
  <c r="Q12" i="15"/>
  <c r="Q27" i="15"/>
  <c r="Y27" i="15"/>
  <c r="M26" i="15"/>
  <c r="P26" i="15" s="1"/>
  <c r="Q26" i="15"/>
  <c r="Y26" i="15"/>
  <c r="Y8" i="15"/>
  <c r="N8" i="15" s="1"/>
  <c r="M8" i="15"/>
  <c r="Q24" i="15"/>
  <c r="Y24" i="15"/>
  <c r="E42" i="25"/>
  <c r="H42" i="25" s="1"/>
  <c r="E19" i="25"/>
  <c r="H19" i="25" s="1"/>
  <c r="E7" i="25"/>
  <c r="H7" i="25" s="1"/>
  <c r="E79" i="6" l="1"/>
  <c r="G195" i="6"/>
  <c r="G196" i="6" s="1"/>
  <c r="E195" i="6"/>
  <c r="E196" i="6" s="1"/>
  <c r="M31" i="15"/>
  <c r="P31" i="15" s="1"/>
  <c r="Q31" i="15"/>
  <c r="Q35" i="15" s="1"/>
  <c r="Y31" i="15"/>
  <c r="N31" i="15" s="1"/>
  <c r="O20" i="15"/>
  <c r="R14" i="15"/>
  <c r="P8" i="15"/>
  <c r="R20" i="15"/>
  <c r="N29" i="15"/>
  <c r="O29" i="15" s="1"/>
  <c r="N11" i="15"/>
  <c r="Z11" i="15" s="1"/>
  <c r="R29" i="15"/>
  <c r="N21" i="15"/>
  <c r="O21" i="15" s="1"/>
  <c r="Z20" i="15"/>
  <c r="N26" i="15"/>
  <c r="O26" i="15" s="1"/>
  <c r="N24" i="15"/>
  <c r="Z24" i="15" s="1"/>
  <c r="N15" i="15"/>
  <c r="O15" i="15" s="1"/>
  <c r="O8" i="15"/>
  <c r="N27" i="15"/>
  <c r="O27" i="15" s="1"/>
  <c r="N12" i="15"/>
  <c r="Z12" i="15" s="1"/>
  <c r="N9" i="15"/>
  <c r="Z9" i="15" s="1"/>
  <c r="N30" i="15"/>
  <c r="Z30" i="15" s="1"/>
  <c r="N14" i="15"/>
  <c r="O14" i="15" s="1"/>
  <c r="N23" i="15"/>
  <c r="O23" i="15" s="1"/>
  <c r="N18" i="15"/>
  <c r="Z18" i="15" s="1"/>
  <c r="K34" i="15"/>
  <c r="R23" i="15"/>
  <c r="M22" i="15"/>
  <c r="P22" i="15" s="1"/>
  <c r="R22" i="15" s="1"/>
  <c r="Y22" i="15"/>
  <c r="M28" i="15"/>
  <c r="P28" i="15" s="1"/>
  <c r="Q28" i="15"/>
  <c r="Y28" i="15"/>
  <c r="M13" i="15"/>
  <c r="P13" i="15" s="1"/>
  <c r="Q13" i="15"/>
  <c r="Y13" i="15"/>
  <c r="R8" i="15"/>
  <c r="R26" i="15"/>
  <c r="M10" i="15"/>
  <c r="P10" i="15" s="1"/>
  <c r="Q10" i="15"/>
  <c r="Y10" i="15"/>
  <c r="K33" i="15"/>
  <c r="K32" i="15" s="1"/>
  <c r="M25" i="15"/>
  <c r="P25" i="15" s="1"/>
  <c r="Q25" i="15"/>
  <c r="Y25" i="15"/>
  <c r="M19" i="15"/>
  <c r="P19" i="15" s="1"/>
  <c r="Q19" i="15"/>
  <c r="Y19" i="15"/>
  <c r="R17" i="15"/>
  <c r="M16" i="15"/>
  <c r="P16" i="15" s="1"/>
  <c r="R16" i="15" s="1"/>
  <c r="Y16" i="15"/>
  <c r="R11" i="15"/>
  <c r="E27" i="30"/>
  <c r="Z31" i="15" l="1"/>
  <c r="O31" i="15"/>
  <c r="R31" i="15"/>
  <c r="E28" i="30"/>
  <c r="H28" i="30" s="1"/>
  <c r="H27" i="30"/>
  <c r="G208" i="6"/>
  <c r="G214" i="6"/>
  <c r="P35" i="15"/>
  <c r="M34" i="15"/>
  <c r="Z29" i="15"/>
  <c r="O11" i="15"/>
  <c r="O24" i="15"/>
  <c r="Z21" i="15"/>
  <c r="O12" i="15"/>
  <c r="N35" i="15"/>
  <c r="Z23" i="15"/>
  <c r="Z8" i="15"/>
  <c r="Z26" i="15"/>
  <c r="N16" i="15"/>
  <c r="Z16" i="15" s="1"/>
  <c r="Z15" i="15"/>
  <c r="O30" i="15"/>
  <c r="Z14" i="15"/>
  <c r="O18" i="15"/>
  <c r="O9" i="15"/>
  <c r="Z27" i="15"/>
  <c r="N13" i="15"/>
  <c r="Z13" i="15" s="1"/>
  <c r="N22" i="15"/>
  <c r="O22" i="15" s="1"/>
  <c r="N25" i="15"/>
  <c r="O25" i="15" s="1"/>
  <c r="N19" i="15"/>
  <c r="O19" i="15" s="1"/>
  <c r="N28" i="15"/>
  <c r="Z28" i="15" s="1"/>
  <c r="Q34" i="15"/>
  <c r="G41" i="6"/>
  <c r="R19" i="15"/>
  <c r="N10" i="15"/>
  <c r="Y33" i="15"/>
  <c r="Y34" i="15"/>
  <c r="Q33" i="15"/>
  <c r="R28" i="15"/>
  <c r="R25" i="15"/>
  <c r="M33" i="15"/>
  <c r="F20" i="15" s="1"/>
  <c r="R13" i="15"/>
  <c r="E52" i="30"/>
  <c r="G15" i="30" s="1"/>
  <c r="E49" i="30"/>
  <c r="E47" i="30"/>
  <c r="E48" i="30" s="1"/>
  <c r="G87" i="6" l="1"/>
  <c r="E87" i="6"/>
  <c r="G63" i="6"/>
  <c r="G64" i="6" s="1"/>
  <c r="E63" i="6"/>
  <c r="E64" i="6" s="1"/>
  <c r="Q32" i="15"/>
  <c r="D22" i="15" s="1"/>
  <c r="F22" i="15"/>
  <c r="G16" i="30"/>
  <c r="O71" i="15"/>
  <c r="O51" i="15"/>
  <c r="O63" i="15"/>
  <c r="O55" i="15"/>
  <c r="O53" i="15"/>
  <c r="O57" i="15"/>
  <c r="O62" i="15"/>
  <c r="O61" i="15"/>
  <c r="O69" i="15"/>
  <c r="O65" i="15"/>
  <c r="O54" i="15"/>
  <c r="O66" i="15"/>
  <c r="O49" i="15"/>
  <c r="O70" i="15"/>
  <c r="O58" i="15"/>
  <c r="O50" i="15"/>
  <c r="O59" i="15"/>
  <c r="O35" i="15"/>
  <c r="O67" i="15"/>
  <c r="O47" i="15"/>
  <c r="Z34" i="15"/>
  <c r="O46" i="15"/>
  <c r="O45" i="15"/>
  <c r="S45" i="15" s="1"/>
  <c r="O16" i="15"/>
  <c r="R35" i="15"/>
  <c r="O43" i="15"/>
  <c r="O42" i="15"/>
  <c r="S42" i="15" s="1"/>
  <c r="O41" i="15"/>
  <c r="O13" i="15"/>
  <c r="Z19" i="15"/>
  <c r="O28" i="15"/>
  <c r="Z25" i="15"/>
  <c r="Z22" i="15"/>
  <c r="Z10" i="15"/>
  <c r="O10" i="15"/>
  <c r="N33" i="15"/>
  <c r="F26" i="15" s="1"/>
  <c r="F21" i="15"/>
  <c r="M32" i="15"/>
  <c r="R10" i="15"/>
  <c r="P33" i="15"/>
  <c r="P32" i="15" s="1"/>
  <c r="P34" i="15"/>
  <c r="E50" i="30"/>
  <c r="E51" i="30" s="1"/>
  <c r="G14" i="30" s="1"/>
  <c r="E70" i="6" l="1"/>
  <c r="G70" i="6"/>
  <c r="E65" i="6"/>
  <c r="G65" i="6"/>
  <c r="D20" i="15"/>
  <c r="D21" i="15" s="1"/>
  <c r="S67" i="15"/>
  <c r="S58" i="15"/>
  <c r="S54" i="15"/>
  <c r="S62" i="15"/>
  <c r="S63" i="15"/>
  <c r="G83" i="6"/>
  <c r="H87" i="6"/>
  <c r="S43" i="15"/>
  <c r="S46" i="15"/>
  <c r="S70" i="15"/>
  <c r="S65" i="15"/>
  <c r="S57" i="15"/>
  <c r="S59" i="15"/>
  <c r="S49" i="15"/>
  <c r="S69" i="15"/>
  <c r="S41" i="15"/>
  <c r="S44" i="15" s="1"/>
  <c r="S47" i="15"/>
  <c r="S50" i="15"/>
  <c r="S66" i="15"/>
  <c r="S61" i="15"/>
  <c r="S55" i="15"/>
  <c r="S71" i="15"/>
  <c r="S53" i="15"/>
  <c r="S51" i="15"/>
  <c r="H63" i="6"/>
  <c r="E66" i="6"/>
  <c r="D66" i="6" s="1"/>
  <c r="H64" i="6"/>
  <c r="G6" i="30"/>
  <c r="E74" i="6"/>
  <c r="O72" i="15"/>
  <c r="O48" i="15"/>
  <c r="O60" i="15"/>
  <c r="O64" i="15"/>
  <c r="O44" i="15"/>
  <c r="O56" i="15"/>
  <c r="O52" i="15"/>
  <c r="R33" i="15"/>
  <c r="F27" i="15"/>
  <c r="O33" i="15"/>
  <c r="Z33" i="15"/>
  <c r="F28" i="15" s="1"/>
  <c r="S64" i="15" l="1"/>
  <c r="S48" i="15"/>
  <c r="G84" i="6"/>
  <c r="S52" i="15"/>
  <c r="S72" i="15"/>
  <c r="S68" i="15"/>
  <c r="S56" i="15"/>
  <c r="S60" i="15"/>
  <c r="S74" i="15"/>
  <c r="H65" i="6"/>
  <c r="G66" i="6"/>
  <c r="G67" i="6" s="1"/>
  <c r="E67" i="6"/>
  <c r="E68" i="6" s="1"/>
  <c r="D64" i="6"/>
  <c r="G9" i="30"/>
  <c r="G7" i="30"/>
  <c r="H70" i="6"/>
  <c r="G74" i="6"/>
  <c r="H74" i="6" s="1"/>
  <c r="E36" i="6"/>
  <c r="H36" i="6" s="1"/>
  <c r="E53" i="30"/>
  <c r="E55" i="30" s="1"/>
  <c r="E58" i="30" s="1"/>
  <c r="E15" i="30"/>
  <c r="H15" i="30" s="1"/>
  <c r="E57" i="30"/>
  <c r="E23" i="30"/>
  <c r="H23" i="30" s="1"/>
  <c r="E20" i="30"/>
  <c r="E5" i="30"/>
  <c r="H5" i="30" s="1"/>
  <c r="S75" i="15" l="1"/>
  <c r="S73" i="15" s="1"/>
  <c r="H66" i="6"/>
  <c r="Q43" i="15"/>
  <c r="Q70" i="15"/>
  <c r="Q59" i="15"/>
  <c r="Q47" i="15"/>
  <c r="Q55" i="15"/>
  <c r="Q45" i="15"/>
  <c r="Q62" i="15"/>
  <c r="Q69" i="15"/>
  <c r="Q58" i="15"/>
  <c r="Q54" i="15"/>
  <c r="Q46" i="15"/>
  <c r="Q65" i="15"/>
  <c r="Q49" i="15"/>
  <c r="Q50" i="15"/>
  <c r="Q71" i="15"/>
  <c r="Q67" i="15"/>
  <c r="Q63" i="15"/>
  <c r="Q57" i="15"/>
  <c r="Q66" i="15"/>
  <c r="Q41" i="15"/>
  <c r="Q51" i="15"/>
  <c r="Q53" i="15"/>
  <c r="Q61" i="15"/>
  <c r="Q42" i="15"/>
  <c r="G68" i="6"/>
  <c r="H68" i="6" s="1"/>
  <c r="H67" i="6"/>
  <c r="G17" i="30"/>
  <c r="E21" i="30"/>
  <c r="H21" i="30" s="1"/>
  <c r="H20" i="30"/>
  <c r="G6" i="22"/>
  <c r="G37" i="30"/>
  <c r="E59" i="30"/>
  <c r="E38" i="30"/>
  <c r="H38" i="30" s="1"/>
  <c r="E24" i="30"/>
  <c r="G47" i="22" l="1"/>
  <c r="G16" i="22"/>
  <c r="G37" i="22"/>
  <c r="G27" i="22"/>
  <c r="G9" i="22"/>
  <c r="G11" i="22" s="1"/>
  <c r="G10" i="22"/>
  <c r="E29" i="30"/>
  <c r="H24" i="30"/>
  <c r="G18" i="30"/>
  <c r="D50" i="30"/>
  <c r="E14" i="30"/>
  <c r="E33" i="30" l="1"/>
  <c r="H33" i="30" s="1"/>
  <c r="H29" i="30"/>
  <c r="G20" i="22"/>
  <c r="G19" i="22"/>
  <c r="G21" i="22" s="1"/>
  <c r="G13" i="22"/>
  <c r="G4" i="22" s="1"/>
  <c r="G50" i="22"/>
  <c r="G52" i="22" s="1"/>
  <c r="G51" i="22"/>
  <c r="E6" i="30"/>
  <c r="H14" i="30"/>
  <c r="G31" i="22"/>
  <c r="G30" i="22"/>
  <c r="G32" i="22" s="1"/>
  <c r="G34" i="30"/>
  <c r="G40" i="22"/>
  <c r="G42" i="22" s="1"/>
  <c r="G44" i="22" s="1"/>
  <c r="G41" i="22"/>
  <c r="G35" i="22" s="1"/>
  <c r="D51" i="30"/>
  <c r="E16" i="30"/>
  <c r="H16" i="30" s="1"/>
  <c r="E7" i="30"/>
  <c r="E9" i="30"/>
  <c r="E17" i="30" l="1"/>
  <c r="H7" i="30"/>
  <c r="G24" i="22"/>
  <c r="G23" i="22"/>
  <c r="G14" i="22" s="1"/>
  <c r="E6" i="22"/>
  <c r="H6" i="22" s="1"/>
  <c r="H9" i="30"/>
  <c r="G34" i="22"/>
  <c r="G25" i="22"/>
  <c r="G55" i="22"/>
  <c r="G54" i="22"/>
  <c r="H6" i="30"/>
  <c r="E18" i="30"/>
  <c r="F37" i="30"/>
  <c r="G45" i="22" l="1"/>
  <c r="G3" i="22" s="1"/>
  <c r="E34" i="30"/>
  <c r="H18" i="30"/>
  <c r="G44" i="6"/>
  <c r="H17" i="30"/>
  <c r="G34" i="6"/>
  <c r="H37" i="30"/>
  <c r="G33" i="25"/>
  <c r="G35" i="25" s="1"/>
  <c r="G34" i="25"/>
  <c r="C15" i="31"/>
  <c r="E16" i="22"/>
  <c r="H16" i="22" s="1"/>
  <c r="H37" i="22"/>
  <c r="E27" i="22"/>
  <c r="H27" i="22" s="1"/>
  <c r="H47" i="22"/>
  <c r="E38" i="6"/>
  <c r="E37" i="30"/>
  <c r="B15" i="31" s="1"/>
  <c r="D37" i="30"/>
  <c r="G37" i="25" l="1"/>
  <c r="G38" i="25"/>
  <c r="G38" i="6"/>
  <c r="G39" i="6" s="1"/>
  <c r="G40" i="6" s="1"/>
  <c r="G42" i="6" s="1"/>
  <c r="H34" i="30"/>
  <c r="E39" i="6"/>
  <c r="E19" i="28"/>
  <c r="H39" i="6" l="1"/>
  <c r="G28" i="25"/>
  <c r="H38" i="6"/>
  <c r="E48" i="22"/>
  <c r="H48" i="22" s="1"/>
  <c r="E46" i="20" l="1"/>
  <c r="E45" i="20"/>
  <c r="E44" i="20"/>
  <c r="E43" i="20"/>
  <c r="E42" i="20"/>
  <c r="E41" i="20"/>
  <c r="E40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E7" i="20"/>
  <c r="B7" i="20"/>
  <c r="B8" i="20" s="1"/>
  <c r="B9" i="20" s="1"/>
  <c r="B10" i="20" s="1"/>
  <c r="B11" i="20" s="1"/>
  <c r="B12" i="20" s="1"/>
  <c r="B13" i="20" s="1"/>
  <c r="B14" i="20" s="1"/>
  <c r="B15" i="20" s="1"/>
  <c r="B16" i="20" s="1"/>
  <c r="B17" i="20" s="1"/>
  <c r="B18" i="20" s="1"/>
  <c r="B19" i="20" s="1"/>
  <c r="B20" i="20" s="1"/>
  <c r="B21" i="20" s="1"/>
  <c r="B22" i="20" s="1"/>
  <c r="B23" i="20" s="1"/>
  <c r="B24" i="20" s="1"/>
  <c r="B25" i="20" s="1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E6" i="20"/>
  <c r="E150" i="6"/>
  <c r="H150" i="6" s="1"/>
  <c r="E25" i="6"/>
  <c r="E94" i="6"/>
  <c r="H94" i="6" s="1"/>
  <c r="E27" i="6" l="1"/>
  <c r="H27" i="6" s="1"/>
  <c r="H25" i="6"/>
  <c r="R72" i="15"/>
  <c r="R71" i="15" l="1"/>
  <c r="R47" i="15"/>
  <c r="R67" i="15"/>
  <c r="R46" i="15"/>
  <c r="R49" i="15"/>
  <c r="R61" i="15"/>
  <c r="R63" i="15"/>
  <c r="R42" i="15"/>
  <c r="R62" i="15"/>
  <c r="R41" i="15"/>
  <c r="R43" i="15"/>
  <c r="R55" i="15"/>
  <c r="R58" i="15"/>
  <c r="R45" i="15"/>
  <c r="R57" i="15"/>
  <c r="R65" i="15"/>
  <c r="R69" i="15"/>
  <c r="R50" i="15"/>
  <c r="R53" i="15"/>
  <c r="R70" i="15"/>
  <c r="R51" i="15"/>
  <c r="R59" i="15"/>
  <c r="R66" i="15"/>
  <c r="R54" i="15"/>
  <c r="Q74" i="15"/>
  <c r="Q68" i="15"/>
  <c r="Q72" i="15"/>
  <c r="Q60" i="15"/>
  <c r="Q64" i="15"/>
  <c r="Q44" i="15"/>
  <c r="Q48" i="15"/>
  <c r="E162" i="6"/>
  <c r="E175" i="6" l="1"/>
  <c r="H162" i="6"/>
  <c r="R68" i="15"/>
  <c r="R60" i="15"/>
  <c r="R56" i="15"/>
  <c r="R74" i="15"/>
  <c r="R48" i="15"/>
  <c r="R64" i="15"/>
  <c r="R52" i="15"/>
  <c r="H175" i="6" l="1"/>
  <c r="E156" i="6"/>
  <c r="H156" i="6" s="1"/>
  <c r="E163" i="6"/>
  <c r="H163" i="6" s="1"/>
  <c r="H166" i="6"/>
  <c r="E168" i="6" l="1"/>
  <c r="H168" i="6" s="1"/>
  <c r="E127" i="6"/>
  <c r="H127" i="6" s="1"/>
  <c r="E6" i="28" l="1"/>
  <c r="E169" i="6"/>
  <c r="E30" i="28" l="1"/>
  <c r="E34" i="28" s="1"/>
  <c r="H34" i="28" s="1"/>
  <c r="H6" i="28"/>
  <c r="E170" i="6"/>
  <c r="H170" i="6" s="1"/>
  <c r="H169" i="6"/>
  <c r="E33" i="28" l="1"/>
  <c r="H30" i="28"/>
  <c r="E35" i="28" l="1"/>
  <c r="H33" i="28"/>
  <c r="G3" i="28"/>
  <c r="E29" i="6"/>
  <c r="H29" i="6" s="1"/>
  <c r="H35" i="28" l="1"/>
  <c r="E37" i="28"/>
  <c r="E93" i="6"/>
  <c r="H93" i="6" l="1"/>
  <c r="H37" i="28"/>
  <c r="E28" i="28"/>
  <c r="H28" i="28" s="1"/>
  <c r="E95" i="6"/>
  <c r="E31" i="15" s="1"/>
  <c r="E96" i="6"/>
  <c r="H96" i="6" s="1"/>
  <c r="H95" i="6" l="1"/>
  <c r="AA31" i="15"/>
  <c r="AA20" i="15"/>
  <c r="AA18" i="15"/>
  <c r="AA12" i="15"/>
  <c r="AA16" i="15"/>
  <c r="AA13" i="15"/>
  <c r="AA8" i="15"/>
  <c r="AA21" i="15"/>
  <c r="AA28" i="15"/>
  <c r="AA25" i="15"/>
  <c r="AA26" i="15"/>
  <c r="AA11" i="15"/>
  <c r="AA29" i="15"/>
  <c r="AA30" i="15"/>
  <c r="AA9" i="15"/>
  <c r="AA15" i="15"/>
  <c r="AA27" i="15"/>
  <c r="AA19" i="15"/>
  <c r="AA22" i="15"/>
  <c r="AA14" i="15"/>
  <c r="AA24" i="15"/>
  <c r="AA23" i="15"/>
  <c r="AA10" i="15"/>
  <c r="E151" i="6"/>
  <c r="E99" i="6"/>
  <c r="H99" i="6" s="1"/>
  <c r="E101" i="6"/>
  <c r="H101" i="6" s="1"/>
  <c r="E100" i="6"/>
  <c r="H100" i="6" l="1"/>
  <c r="E83" i="6"/>
  <c r="E153" i="6"/>
  <c r="H153" i="6" s="1"/>
  <c r="H151" i="6"/>
  <c r="E147" i="6"/>
  <c r="AA34" i="15"/>
  <c r="AA33" i="15"/>
  <c r="F29" i="15" s="1"/>
  <c r="E97" i="6" l="1"/>
  <c r="G97" i="6"/>
  <c r="G112" i="6" s="1"/>
  <c r="AB20" i="15"/>
  <c r="H83" i="6"/>
  <c r="E84" i="6"/>
  <c r="H84" i="6" s="1"/>
  <c r="AB31" i="15"/>
  <c r="AB21" i="15"/>
  <c r="AB23" i="15"/>
  <c r="AB15" i="15"/>
  <c r="AB11" i="15"/>
  <c r="AB12" i="15"/>
  <c r="AB10" i="15"/>
  <c r="AB19" i="15"/>
  <c r="AB14" i="15"/>
  <c r="AB18" i="15"/>
  <c r="AB16" i="15"/>
  <c r="AB22" i="15"/>
  <c r="AB26" i="15"/>
  <c r="AB13" i="15"/>
  <c r="AB30" i="15"/>
  <c r="AB9" i="15"/>
  <c r="AB28" i="15"/>
  <c r="AB29" i="15"/>
  <c r="AB8" i="15"/>
  <c r="AB25" i="15"/>
  <c r="AB27" i="15"/>
  <c r="AB24" i="15"/>
  <c r="G115" i="6"/>
  <c r="E148" i="6"/>
  <c r="H148" i="6" s="1"/>
  <c r="H147" i="6"/>
  <c r="F30" i="15"/>
  <c r="AB33" i="15"/>
  <c r="E221" i="6"/>
  <c r="H221" i="6" s="1"/>
  <c r="G98" i="6" l="1"/>
  <c r="AB34" i="15"/>
  <c r="G114" i="6"/>
  <c r="G117" i="6"/>
  <c r="E203" i="6"/>
  <c r="H203" i="6" s="1"/>
  <c r="E120" i="6"/>
  <c r="H120" i="6" s="1"/>
  <c r="E23" i="6"/>
  <c r="G145" i="6" l="1"/>
  <c r="E145" i="6"/>
  <c r="H145" i="6"/>
  <c r="E149" i="6"/>
  <c r="E157" i="6" s="1"/>
  <c r="D158" i="6" s="1"/>
  <c r="G122" i="6"/>
  <c r="G51" i="6"/>
  <c r="D11" i="15"/>
  <c r="D18" i="15" s="1"/>
  <c r="H23" i="6"/>
  <c r="G149" i="6"/>
  <c r="E17" i="6"/>
  <c r="E213" i="6" s="1"/>
  <c r="H17" i="6" l="1"/>
  <c r="E176" i="6"/>
  <c r="D13" i="15"/>
  <c r="G33" i="6" s="1"/>
  <c r="G157" i="6"/>
  <c r="H157" i="6" s="1"/>
  <c r="H149" i="6"/>
  <c r="H213" i="6"/>
  <c r="E76" i="6"/>
  <c r="F11" i="15"/>
  <c r="F18" i="15" s="1"/>
  <c r="E44" i="6"/>
  <c r="E34" i="6"/>
  <c r="H34" i="6" s="1"/>
  <c r="E215" i="6"/>
  <c r="H176" i="6" l="1"/>
  <c r="E177" i="6"/>
  <c r="E179" i="6" s="1"/>
  <c r="H179" i="6" s="1"/>
  <c r="E217" i="6"/>
  <c r="H217" i="6" s="1"/>
  <c r="H215" i="6"/>
  <c r="H76" i="6"/>
  <c r="D44" i="6"/>
  <c r="H44" i="6"/>
  <c r="F13" i="15"/>
  <c r="G31" i="6" s="1"/>
  <c r="E11" i="15"/>
  <c r="E13" i="15" s="1"/>
  <c r="E18" i="15" l="1"/>
  <c r="E33" i="6"/>
  <c r="D33" i="6" l="1"/>
  <c r="H33" i="6"/>
  <c r="E22" i="6"/>
  <c r="H22" i="6" s="1"/>
  <c r="E31" i="6"/>
  <c r="D31" i="6" l="1"/>
  <c r="H31" i="6"/>
  <c r="H79" i="6"/>
  <c r="H195" i="6"/>
  <c r="H196" i="6" l="1"/>
  <c r="M35" i="15"/>
  <c r="E214" i="6" l="1"/>
  <c r="H214" i="6" s="1"/>
  <c r="E208" i="6"/>
  <c r="H208" i="6" s="1"/>
  <c r="E115" i="6" l="1"/>
  <c r="H97" i="6"/>
  <c r="E112" i="6"/>
  <c r="H112" i="6" s="1"/>
  <c r="E98" i="6"/>
  <c r="H98" i="6" l="1"/>
  <c r="E80" i="6"/>
  <c r="E117" i="6"/>
  <c r="H115" i="6"/>
  <c r="E41" i="6"/>
  <c r="H41" i="6" s="1"/>
  <c r="E122" i="6" l="1"/>
  <c r="H122" i="6" s="1"/>
  <c r="H117" i="6"/>
  <c r="E114" i="6"/>
  <c r="D123" i="6" l="1"/>
  <c r="E51" i="6"/>
  <c r="H51" i="6" s="1"/>
  <c r="H114" i="6"/>
  <c r="D80" i="6"/>
  <c r="H80" i="6"/>
  <c r="E130" i="6"/>
  <c r="E138" i="6" s="1"/>
  <c r="H138" i="6" l="1"/>
  <c r="E41" i="25"/>
  <c r="H130" i="6"/>
  <c r="H177" i="6"/>
  <c r="E8" i="28"/>
  <c r="H8" i="28" s="1"/>
  <c r="E52" i="25" l="1"/>
  <c r="E57" i="25" s="1"/>
  <c r="H57" i="25" s="1"/>
  <c r="H41" i="25"/>
  <c r="E44" i="25"/>
  <c r="E45" i="25"/>
  <c r="H45" i="25" s="1"/>
  <c r="E11" i="28"/>
  <c r="E12" i="28"/>
  <c r="H12" i="28" s="1"/>
  <c r="E18" i="28"/>
  <c r="H18" i="28" s="1"/>
  <c r="E13" i="28" l="1"/>
  <c r="H13" i="28" s="1"/>
  <c r="H11" i="28"/>
  <c r="H52" i="25"/>
  <c r="D62" i="25"/>
  <c r="E46" i="25"/>
  <c r="H44" i="25"/>
  <c r="E21" i="28"/>
  <c r="E22" i="28"/>
  <c r="H22" i="28" s="1"/>
  <c r="E15" i="28" l="1"/>
  <c r="E4" i="28" s="1"/>
  <c r="H4" i="28" s="1"/>
  <c r="E23" i="28"/>
  <c r="E26" i="28" s="1"/>
  <c r="H26" i="28" s="1"/>
  <c r="H21" i="28"/>
  <c r="G62" i="25"/>
  <c r="E62" i="25"/>
  <c r="D63" i="25"/>
  <c r="H46" i="25"/>
  <c r="E48" i="25"/>
  <c r="E49" i="25"/>
  <c r="H49" i="25" s="1"/>
  <c r="H15" i="28" l="1"/>
  <c r="E25" i="28"/>
  <c r="H25" i="28" s="1"/>
  <c r="E27" i="28"/>
  <c r="H27" i="28" s="1"/>
  <c r="H23" i="28"/>
  <c r="E63" i="25"/>
  <c r="D64" i="25"/>
  <c r="G63" i="25"/>
  <c r="H62" i="25"/>
  <c r="H48" i="25"/>
  <c r="E39" i="25"/>
  <c r="H39" i="25" s="1"/>
  <c r="E16" i="28" l="1"/>
  <c r="H16" i="28" s="1"/>
  <c r="H63" i="25"/>
  <c r="D65" i="25"/>
  <c r="G64" i="25"/>
  <c r="E64" i="25"/>
  <c r="E3" i="28" l="1"/>
  <c r="H3" i="28" s="1"/>
  <c r="H64" i="25"/>
  <c r="D66" i="25"/>
  <c r="G65" i="25"/>
  <c r="E65" i="25"/>
  <c r="G171" i="6" l="1"/>
  <c r="G174" i="6" s="1"/>
  <c r="E171" i="6"/>
  <c r="E174" i="6" s="1"/>
  <c r="D174" i="6" s="1"/>
  <c r="H65" i="25"/>
  <c r="D67" i="25"/>
  <c r="G66" i="25"/>
  <c r="E66" i="25"/>
  <c r="H171" i="6" l="1"/>
  <c r="H174" i="6"/>
  <c r="H66" i="25"/>
  <c r="D68" i="25"/>
  <c r="E67" i="25"/>
  <c r="G67" i="25"/>
  <c r="D172" i="6"/>
  <c r="H67" i="25" l="1"/>
  <c r="D69" i="25"/>
  <c r="E68" i="25"/>
  <c r="G68" i="25"/>
  <c r="H68" i="25" l="1"/>
  <c r="D70" i="25"/>
  <c r="G69" i="25"/>
  <c r="E69" i="25"/>
  <c r="E50" i="22"/>
  <c r="E51" i="22"/>
  <c r="H51" i="22" s="1"/>
  <c r="E19" i="22"/>
  <c r="E20" i="22"/>
  <c r="H20" i="22" s="1"/>
  <c r="E40" i="22"/>
  <c r="E41" i="22"/>
  <c r="H41" i="22" s="1"/>
  <c r="E9" i="22"/>
  <c r="E10" i="22"/>
  <c r="H10" i="22" s="1"/>
  <c r="E40" i="6"/>
  <c r="E30" i="22"/>
  <c r="E31" i="22"/>
  <c r="H31" i="22" s="1"/>
  <c r="H40" i="6" l="1"/>
  <c r="S31" i="15"/>
  <c r="F23" i="15" s="1"/>
  <c r="H69" i="25"/>
  <c r="D71" i="25"/>
  <c r="G70" i="25"/>
  <c r="E70" i="25"/>
  <c r="E11" i="22"/>
  <c r="H11" i="22" s="1"/>
  <c r="H9" i="22"/>
  <c r="E21" i="22"/>
  <c r="H21" i="22" s="1"/>
  <c r="H19" i="22"/>
  <c r="E32" i="22"/>
  <c r="H32" i="22" s="1"/>
  <c r="H30" i="22"/>
  <c r="E42" i="22"/>
  <c r="H40" i="22"/>
  <c r="E52" i="22"/>
  <c r="H52" i="22" s="1"/>
  <c r="H50" i="22"/>
  <c r="S14" i="15"/>
  <c r="S22" i="15"/>
  <c r="S20" i="15"/>
  <c r="S16" i="15"/>
  <c r="D40" i="6"/>
  <c r="S29" i="15"/>
  <c r="D23" i="15" s="1"/>
  <c r="S26" i="15"/>
  <c r="S8" i="15"/>
  <c r="S11" i="15"/>
  <c r="S17" i="15"/>
  <c r="S23" i="15"/>
  <c r="S13" i="15"/>
  <c r="S25" i="15"/>
  <c r="S19" i="15"/>
  <c r="S28" i="15"/>
  <c r="S10" i="15"/>
  <c r="E24" i="22"/>
  <c r="H24" i="22" s="1"/>
  <c r="E42" i="6"/>
  <c r="H42" i="6" s="1"/>
  <c r="E34" i="22"/>
  <c r="E13" i="22"/>
  <c r="H70" i="25" l="1"/>
  <c r="E55" i="22"/>
  <c r="H55" i="22" s="1"/>
  <c r="E54" i="22"/>
  <c r="H54" i="22" s="1"/>
  <c r="D72" i="25"/>
  <c r="E71" i="25"/>
  <c r="G71" i="25"/>
  <c r="E44" i="22"/>
  <c r="H42" i="22"/>
  <c r="E25" i="22"/>
  <c r="H25" i="22" s="1"/>
  <c r="H34" i="22"/>
  <c r="E4" i="22"/>
  <c r="H4" i="22" s="1"/>
  <c r="H13" i="22"/>
  <c r="E23" i="22"/>
  <c r="H23" i="22" s="1"/>
  <c r="S33" i="15"/>
  <c r="F24" i="15" s="1"/>
  <c r="S32" i="15"/>
  <c r="E45" i="22" l="1"/>
  <c r="H45" i="22" s="1"/>
  <c r="H71" i="25"/>
  <c r="D73" i="25"/>
  <c r="G72" i="25"/>
  <c r="E72" i="25"/>
  <c r="E14" i="22"/>
  <c r="H44" i="22"/>
  <c r="E35" i="22"/>
  <c r="H35" i="22" s="1"/>
  <c r="D24" i="15"/>
  <c r="D25" i="15" s="1"/>
  <c r="S34" i="15"/>
  <c r="H72" i="25" l="1"/>
  <c r="D74" i="25"/>
  <c r="G73" i="25"/>
  <c r="E73" i="25"/>
  <c r="E3" i="22"/>
  <c r="H14" i="22"/>
  <c r="E39" i="30" l="1"/>
  <c r="E41" i="30" s="1"/>
  <c r="H73" i="25"/>
  <c r="G74" i="25"/>
  <c r="G59" i="25" s="1"/>
  <c r="E74" i="25"/>
  <c r="E59" i="25" s="1"/>
  <c r="G39" i="30"/>
  <c r="G41" i="30" s="1"/>
  <c r="G43" i="30" s="1"/>
  <c r="H3" i="22"/>
  <c r="H41" i="30" l="1"/>
  <c r="H39" i="30"/>
  <c r="H74" i="25"/>
  <c r="B13" i="31"/>
  <c r="E43" i="30"/>
  <c r="G45" i="6" s="1"/>
  <c r="G47" i="6" s="1"/>
  <c r="F25" i="15" l="1"/>
  <c r="E44" i="30"/>
  <c r="E45" i="6"/>
  <c r="H45" i="6" s="1"/>
  <c r="E47" i="6" l="1"/>
  <c r="H47" i="6" s="1"/>
  <c r="Y32" i="15"/>
  <c r="Y36" i="15"/>
  <c r="N17" i="15"/>
  <c r="Z17" i="15" s="1"/>
  <c r="Q52" i="15"/>
  <c r="Y35" i="15" l="1"/>
  <c r="O17" i="15"/>
  <c r="O34" i="15" s="1"/>
  <c r="Z32" i="15"/>
  <c r="D28" i="15" s="1"/>
  <c r="AA17" i="15"/>
  <c r="O68" i="15"/>
  <c r="N32" i="15"/>
  <c r="N34" i="15"/>
  <c r="D26" i="15" l="1"/>
  <c r="D27" i="15" s="1"/>
  <c r="Z35" i="15"/>
  <c r="O32" i="15"/>
  <c r="Q56" i="15"/>
  <c r="Q75" i="15" s="1"/>
  <c r="AB17" i="15"/>
  <c r="AA32" i="15"/>
  <c r="G106" i="6" l="1"/>
  <c r="E106" i="6"/>
  <c r="E108" i="6" s="1"/>
  <c r="E110" i="6" s="1"/>
  <c r="E50" i="6" s="1"/>
  <c r="D29" i="15"/>
  <c r="E32" i="15"/>
  <c r="G199" i="6" s="1"/>
  <c r="G225" i="6"/>
  <c r="P72" i="15"/>
  <c r="AA35" i="15"/>
  <c r="Q73" i="15"/>
  <c r="E225" i="6"/>
  <c r="AB32" i="15"/>
  <c r="G211" i="6" s="1"/>
  <c r="H106" i="6" l="1"/>
  <c r="H225" i="6"/>
  <c r="P70" i="15"/>
  <c r="P51" i="15"/>
  <c r="P41" i="15"/>
  <c r="P59" i="15"/>
  <c r="P43" i="15"/>
  <c r="P50" i="15"/>
  <c r="P49" i="15"/>
  <c r="P66" i="15"/>
  <c r="P53" i="15"/>
  <c r="P69" i="15"/>
  <c r="P55" i="15"/>
  <c r="P57" i="15"/>
  <c r="P58" i="15"/>
  <c r="P61" i="15"/>
  <c r="P67" i="15"/>
  <c r="P47" i="15"/>
  <c r="P54" i="15"/>
  <c r="P71" i="15"/>
  <c r="P42" i="15"/>
  <c r="P65" i="15"/>
  <c r="P46" i="15"/>
  <c r="P62" i="15"/>
  <c r="P63" i="15"/>
  <c r="P45" i="15"/>
  <c r="G108" i="6"/>
  <c r="G204" i="6"/>
  <c r="E211" i="6"/>
  <c r="H211" i="6" s="1"/>
  <c r="AB35" i="15"/>
  <c r="D30" i="15"/>
  <c r="E36" i="15"/>
  <c r="E199" i="6"/>
  <c r="E204" i="6" s="1"/>
  <c r="E207" i="6" s="1"/>
  <c r="E209" i="6" s="1"/>
  <c r="R44" i="15"/>
  <c r="R75" i="15" s="1"/>
  <c r="G227" i="6" s="1"/>
  <c r="E197" i="6" l="1"/>
  <c r="G197" i="6"/>
  <c r="P60" i="15"/>
  <c r="P48" i="15"/>
  <c r="P68" i="15"/>
  <c r="P52" i="15"/>
  <c r="P44" i="15"/>
  <c r="P64" i="15"/>
  <c r="P56" i="15"/>
  <c r="P74" i="15"/>
  <c r="H199" i="6"/>
  <c r="H108" i="6"/>
  <c r="G110" i="6"/>
  <c r="G207" i="6"/>
  <c r="H204" i="6"/>
  <c r="R73" i="15"/>
  <c r="E227" i="6"/>
  <c r="H227" i="6" s="1"/>
  <c r="P75" i="15" l="1"/>
  <c r="G50" i="6"/>
  <c r="H50" i="6" s="1"/>
  <c r="H110" i="6"/>
  <c r="H207" i="6"/>
  <c r="G209" i="6"/>
  <c r="H209" i="6" s="1"/>
  <c r="H197" i="6"/>
  <c r="G226" i="6" l="1"/>
  <c r="P73" i="15"/>
  <c r="E226" i="6"/>
  <c r="G44" i="30"/>
  <c r="H44" i="30" s="1"/>
  <c r="H43" i="30"/>
  <c r="H226" i="6" l="1"/>
  <c r="H59" i="25"/>
  <c r="G27" i="25" l="1"/>
  <c r="E6" i="25"/>
  <c r="E18" i="25" s="1"/>
  <c r="E188" i="6"/>
  <c r="H188" i="6" s="1"/>
  <c r="G133" i="6" l="1"/>
  <c r="H6" i="25"/>
  <c r="E10" i="25"/>
  <c r="H10" i="25" s="1"/>
  <c r="E9" i="25"/>
  <c r="H9" i="25" s="1"/>
  <c r="H18" i="25"/>
  <c r="E22" i="25"/>
  <c r="E21" i="25"/>
  <c r="G134" i="6" l="1"/>
  <c r="G140" i="6" s="1"/>
  <c r="E11" i="25"/>
  <c r="E14" i="25" s="1"/>
  <c r="H14" i="25" s="1"/>
  <c r="H21" i="25"/>
  <c r="E23" i="25"/>
  <c r="H22" i="25"/>
  <c r="H11" i="25" l="1"/>
  <c r="E13" i="25"/>
  <c r="H13" i="25" s="1"/>
  <c r="E15" i="25"/>
  <c r="H15" i="25" s="1"/>
  <c r="E25" i="25"/>
  <c r="H23" i="25"/>
  <c r="E4" i="25" l="1"/>
  <c r="H4" i="25" s="1"/>
  <c r="H25" i="25"/>
  <c r="E16" i="25"/>
  <c r="H16" i="25" s="1"/>
  <c r="E3" i="25" l="1"/>
  <c r="E184" i="6" l="1"/>
  <c r="E187" i="6" s="1"/>
  <c r="E190" i="6" s="1"/>
  <c r="G184" i="6"/>
  <c r="H3" i="25"/>
  <c r="G187" i="6" l="1"/>
  <c r="G190" i="6" s="1"/>
  <c r="H184" i="6"/>
  <c r="E191" i="6"/>
  <c r="E192" i="6"/>
  <c r="E49" i="6" s="1"/>
  <c r="H187" i="6" l="1"/>
  <c r="H190" i="6" l="1"/>
  <c r="G192" i="6"/>
  <c r="G191" i="6"/>
  <c r="H191" i="6" s="1"/>
  <c r="H192" i="6" l="1"/>
  <c r="G49" i="6"/>
  <c r="H49" i="6" l="1"/>
  <c r="H136" i="6"/>
  <c r="E30" i="25" l="1"/>
  <c r="E33" i="25" l="1"/>
  <c r="H30" i="25"/>
  <c r="E34" i="25"/>
  <c r="E35" i="25" l="1"/>
  <c r="H33" i="25"/>
  <c r="H34" i="25"/>
  <c r="E38" i="25" l="1"/>
  <c r="H38" i="25" s="1"/>
  <c r="E37" i="25"/>
  <c r="H35" i="25"/>
  <c r="H37" i="25" l="1"/>
  <c r="E28" i="25"/>
  <c r="H28" i="25" l="1"/>
  <c r="E27" i="25"/>
  <c r="E133" i="6" s="1"/>
  <c r="E134" i="6" l="1"/>
  <c r="H133" i="6"/>
  <c r="H27" i="25"/>
  <c r="E140" i="6" l="1"/>
  <c r="E142" i="6" s="1"/>
  <c r="E48" i="6" s="1"/>
  <c r="E52" i="6" s="1"/>
  <c r="E219" i="6" s="1"/>
  <c r="E222" i="6" s="1"/>
  <c r="E223" i="6" s="1"/>
  <c r="H134" i="6"/>
  <c r="G142" i="6" l="1"/>
  <c r="H140" i="6"/>
  <c r="G48" i="6" l="1"/>
  <c r="H142" i="6"/>
  <c r="G52" i="6" l="1"/>
  <c r="H48" i="6"/>
  <c r="H52" i="6" l="1"/>
  <c r="G219" i="6"/>
  <c r="H219" i="6" l="1"/>
  <c r="G222" i="6"/>
  <c r="G223" i="6" l="1"/>
  <c r="H223" i="6" s="1"/>
  <c r="H222" i="6"/>
</calcChain>
</file>

<file path=xl/sharedStrings.xml><?xml version="1.0" encoding="utf-8"?>
<sst xmlns="http://schemas.openxmlformats.org/spreadsheetml/2006/main" count="1313" uniqueCount="611">
  <si>
    <t>Variables Principales de Entrada</t>
  </si>
  <si>
    <t>Indicadores de Control</t>
  </si>
  <si>
    <t>m</t>
  </si>
  <si>
    <t>m2</t>
  </si>
  <si>
    <t>m/s</t>
  </si>
  <si>
    <t>hv</t>
  </si>
  <si>
    <t xml:space="preserve">m </t>
  </si>
  <si>
    <t>u</t>
  </si>
  <si>
    <t>Diámetro de Orificio</t>
  </si>
  <si>
    <t>mm</t>
  </si>
  <si>
    <t>mm2</t>
  </si>
  <si>
    <t>Kg O2/Kw-h</t>
  </si>
  <si>
    <t>Coeficiente de Descarga</t>
  </si>
  <si>
    <t>Cd</t>
  </si>
  <si>
    <t>Lps</t>
  </si>
  <si>
    <t>Caudal por Parrilla</t>
  </si>
  <si>
    <t>Q</t>
  </si>
  <si>
    <t>P</t>
  </si>
  <si>
    <t>Kw</t>
  </si>
  <si>
    <t>Cst</t>
  </si>
  <si>
    <t>mg/L</t>
  </si>
  <si>
    <t xml:space="preserve"> α</t>
  </si>
  <si>
    <t>KgO2/día</t>
  </si>
  <si>
    <t>m3</t>
  </si>
  <si>
    <t>m3/h</t>
  </si>
  <si>
    <t>pg</t>
  </si>
  <si>
    <t xml:space="preserve">Cabeza de Velocidad </t>
  </si>
  <si>
    <t xml:space="preserve">Longitud  </t>
  </si>
  <si>
    <t>kg/m3</t>
  </si>
  <si>
    <t>Perdidas de Cabeza en Tubería</t>
  </si>
  <si>
    <t>Accesorios</t>
  </si>
  <si>
    <t>Kg/m3</t>
  </si>
  <si>
    <t>Altitud</t>
  </si>
  <si>
    <t>msnm</t>
  </si>
  <si>
    <t>Temperatura</t>
  </si>
  <si>
    <t>T°C</t>
  </si>
  <si>
    <t>oC</t>
  </si>
  <si>
    <t>Presion a Nivel del Mar</t>
  </si>
  <si>
    <t>kPa</t>
  </si>
  <si>
    <t>Factor de Presión</t>
  </si>
  <si>
    <t>Presión en el Sitio</t>
  </si>
  <si>
    <t>https://www.engineeringtoolbox.com/pvc-cpvc-pipes-dimensions-d_795.html</t>
  </si>
  <si>
    <t>1/2"</t>
  </si>
  <si>
    <t xml:space="preserve">u </t>
  </si>
  <si>
    <t>Vt</t>
  </si>
  <si>
    <t>GPM</t>
  </si>
  <si>
    <t>Largo Ranura</t>
  </si>
  <si>
    <t>Ancho Ranura</t>
  </si>
  <si>
    <t>Area Ranura</t>
  </si>
  <si>
    <t>Kg O2/hora</t>
  </si>
  <si>
    <t>Diferencia de Altura</t>
  </si>
  <si>
    <t>Total Cabeza de Bombeo</t>
  </si>
  <si>
    <t>Eficiencia de Bombeo</t>
  </si>
  <si>
    <t>Curva Característica de la Bomba</t>
  </si>
  <si>
    <t>Potencia de Bombeo</t>
  </si>
  <si>
    <t>HP</t>
  </si>
  <si>
    <t>Marca</t>
  </si>
  <si>
    <t>Modelo</t>
  </si>
  <si>
    <t>Ø Rotor</t>
  </si>
  <si>
    <t>Vel. Motor RPM</t>
  </si>
  <si>
    <t>Potencia de Motor de Diseño</t>
  </si>
  <si>
    <t>Eficiencia</t>
  </si>
  <si>
    <t>Conexiones</t>
  </si>
  <si>
    <t>Velocidad en Perforaciones</t>
  </si>
  <si>
    <t>Area de Garganta</t>
  </si>
  <si>
    <t>Velocidad  de Flujo en Garganta</t>
  </si>
  <si>
    <t>Cabeza de Velocidad en Garganta</t>
  </si>
  <si>
    <t>Diametro Interior de Tubo Transversal</t>
  </si>
  <si>
    <t xml:space="preserve"> β</t>
  </si>
  <si>
    <t>Potencia de Bombeo en Cable</t>
  </si>
  <si>
    <t>horas</t>
  </si>
  <si>
    <t>Diametro</t>
  </si>
  <si>
    <t>Engorde</t>
  </si>
  <si>
    <t>Levante</t>
  </si>
  <si>
    <t>Alevinos</t>
  </si>
  <si>
    <t>Tiempo de Recirculación del Volúmen</t>
  </si>
  <si>
    <t>Tiempo Total de Cria</t>
  </si>
  <si>
    <t>meses</t>
  </si>
  <si>
    <t>Peso Total de Peces por Cosecha</t>
  </si>
  <si>
    <t>Producción de Pescado</t>
  </si>
  <si>
    <t>Tasa de Oxígeno para Nitrificación Heterotrófa de NH4</t>
  </si>
  <si>
    <t>Kg O2/Kg NH4</t>
  </si>
  <si>
    <t>Kw-hora/año</t>
  </si>
  <si>
    <t>No de Jaulas de Alevinos</t>
  </si>
  <si>
    <t>Cantidad de Alevinos por Jaula</t>
  </si>
  <si>
    <t>Volumen de la Jaula</t>
  </si>
  <si>
    <t>u/m3</t>
  </si>
  <si>
    <t>ETAPA</t>
  </si>
  <si>
    <t>gr</t>
  </si>
  <si>
    <t>Kg</t>
  </si>
  <si>
    <t>Consumo de Energía Anual en Aireación</t>
  </si>
  <si>
    <t>Kw-h/año</t>
  </si>
  <si>
    <t>Consumo Anual de Energía</t>
  </si>
  <si>
    <t>w/m3</t>
  </si>
  <si>
    <t>Kg/día</t>
  </si>
  <si>
    <t>Porcentaje de Urea en Provision de Nitrógeno</t>
  </si>
  <si>
    <t>Contenido de NH4 en Urea</t>
  </si>
  <si>
    <t>días</t>
  </si>
  <si>
    <t>No de Tuberías</t>
  </si>
  <si>
    <t xml:space="preserve">Caudal </t>
  </si>
  <si>
    <t>Porcentaje de Bagazo Seco en la Caña</t>
  </si>
  <si>
    <t>Porcentaje de Sacarosa del Jugo de Caña</t>
  </si>
  <si>
    <t>Porcentaje de Sacarosa en la Caña</t>
  </si>
  <si>
    <t>Kg /día</t>
  </si>
  <si>
    <t>kg/h</t>
  </si>
  <si>
    <t>Tiempo para Procesar Caña por Jornada</t>
  </si>
  <si>
    <t xml:space="preserve">Tasa de Consumo de Alcalinidad por Nitrificacion </t>
  </si>
  <si>
    <t>Consumo de Alcalinidad</t>
  </si>
  <si>
    <t>Potencia de Trapiche</t>
  </si>
  <si>
    <t>Potencia de Picapastos</t>
  </si>
  <si>
    <t>Tiempo de Compostaje</t>
  </si>
  <si>
    <t>Area de cada Lecho</t>
  </si>
  <si>
    <t>Cantidad de Caña a Suministrar</t>
  </si>
  <si>
    <t>Ton/ha-año</t>
  </si>
  <si>
    <t>Kg /día*ha</t>
  </si>
  <si>
    <t>Has</t>
  </si>
  <si>
    <t>Otra Areas</t>
  </si>
  <si>
    <t>Area Total Requerida</t>
  </si>
  <si>
    <t>Producción de Pescado  por Hectárea</t>
  </si>
  <si>
    <t>KW-h/Kg pescado</t>
  </si>
  <si>
    <t>Bagazo</t>
  </si>
  <si>
    <t>Fuente</t>
  </si>
  <si>
    <t>m3/año</t>
  </si>
  <si>
    <t>Lt/Kg</t>
  </si>
  <si>
    <t>Potencia Media utilizada en otros Usos</t>
  </si>
  <si>
    <t>Consumo de Energía en Otros Usos</t>
  </si>
  <si>
    <t>Consumo de Energía por Kg de Pescado Producido</t>
  </si>
  <si>
    <t>Caudal por Boquilla</t>
  </si>
  <si>
    <t>No de Boquillas por Parrilla</t>
  </si>
  <si>
    <t>Potencia Hidráulica por Boquilla</t>
  </si>
  <si>
    <t>Tasa de Supervencia</t>
  </si>
  <si>
    <t>EDAD</t>
  </si>
  <si>
    <t xml:space="preserve">Excresión de Nitrógeno </t>
  </si>
  <si>
    <t>Porcentaje de Nitrógeno en Proteina</t>
  </si>
  <si>
    <t>Carga  Máxima Especificada</t>
  </si>
  <si>
    <t>Kg de Peces/m3</t>
  </si>
  <si>
    <t>Promedio Nitrógeno a Suministrar</t>
  </si>
  <si>
    <t>Total de Carbohidratos en la Caña</t>
  </si>
  <si>
    <t>SEMANA</t>
  </si>
  <si>
    <t>Días</t>
  </si>
  <si>
    <t>mg O2/Kg biomasa</t>
  </si>
  <si>
    <t>Promedio General:</t>
  </si>
  <si>
    <t>Cantidad de Urea a Suministrar</t>
  </si>
  <si>
    <t>Cantidad de Alevinos por Par de Estanques</t>
  </si>
  <si>
    <t>Máximo por Par de Estanques (Kg/día):</t>
  </si>
  <si>
    <t>Promedio para Estanques de Engorde:</t>
  </si>
  <si>
    <t>Densidad de Peces</t>
  </si>
  <si>
    <t>Contenido de Vitamina C en Jugo de Caña</t>
  </si>
  <si>
    <t>g/L</t>
  </si>
  <si>
    <t>mgN/kg-h</t>
  </si>
  <si>
    <t>m3/jornada</t>
  </si>
  <si>
    <t>Perdidas de Cabeza</t>
  </si>
  <si>
    <t>Consumo Anual de Energía por Bomba del Pozo</t>
  </si>
  <si>
    <t>12 a 16%</t>
  </si>
  <si>
    <t>Proporción de Hojas y Cogollos respecto al Bagazo Seco</t>
  </si>
  <si>
    <t>Peso Final por Tilapia</t>
  </si>
  <si>
    <t>Diámetro de Eje</t>
  </si>
  <si>
    <t>Caudal de Riego del Compostaje</t>
  </si>
  <si>
    <t>No de Aspersores por Tuberìa</t>
  </si>
  <si>
    <t>No de Aspersores</t>
  </si>
  <si>
    <t>Cabeza de Velocidad en Aspersores</t>
  </si>
  <si>
    <t>Caudal por Aspersor</t>
  </si>
  <si>
    <t>Periodiciidad de Cosecha</t>
  </si>
  <si>
    <t>KgO2/hora</t>
  </si>
  <si>
    <t>Parametros de la Boquilla</t>
  </si>
  <si>
    <t>Transferencia de Oxígeno por Parrilla</t>
  </si>
  <si>
    <t>Ph</t>
  </si>
  <si>
    <t>Bell Gosset</t>
  </si>
  <si>
    <t>kW</t>
  </si>
  <si>
    <t>Kg/jor</t>
  </si>
  <si>
    <t>Promedio Estanques de  Alevinos y Levante:</t>
  </si>
  <si>
    <t>PROGRAMACION DE OXIGENO Y EXCRESIÓN DE NITRÓGENO</t>
  </si>
  <si>
    <t>ALIMENTACIÓN  CON CONCENTRADO</t>
  </si>
  <si>
    <t>Carbohidratos a Suministrar</t>
  </si>
  <si>
    <t>Ancho Total de Lechos</t>
  </si>
  <si>
    <t>Caudal en Fitro Percolador</t>
  </si>
  <si>
    <t>Promedio Carbohidratos Requerido</t>
  </si>
  <si>
    <t>C/N</t>
  </si>
  <si>
    <t>Caudal de Diseño de los Estanques</t>
  </si>
  <si>
    <t>No de Bolsas por Jaula</t>
  </si>
  <si>
    <t>Kg N/día</t>
  </si>
  <si>
    <t>KgN/día</t>
  </si>
  <si>
    <t>Altura del Muro</t>
  </si>
  <si>
    <t>kg/jornada</t>
  </si>
  <si>
    <t>Máximo para Todos los Estanques (Kg/día):</t>
  </si>
  <si>
    <t>Cantidad Máxima de Caña cortada por Jornada</t>
  </si>
  <si>
    <t>Lt/jornada</t>
  </si>
  <si>
    <t>Cantidad Máxima de Jugo de Caña por Jornada</t>
  </si>
  <si>
    <t>Tasa de Vitamina C Máxima Requerida</t>
  </si>
  <si>
    <t>Cantidad Máxima de Vitamina C Requerida</t>
  </si>
  <si>
    <t>Promedio Alimento para Alevinos (Kg/día):</t>
  </si>
  <si>
    <t>Promedio Diario para todos los Estanques</t>
  </si>
  <si>
    <t>Consumo Máximo en Estanques de Engorde por Peces</t>
  </si>
  <si>
    <t>Peso Final de Peces</t>
  </si>
  <si>
    <t xml:space="preserve">Peso Final   por Pez    </t>
  </si>
  <si>
    <t>Consumo de O2 por Nitrificacion de Excresiones</t>
  </si>
  <si>
    <t>Factor de Utilizacion de la Aireación</t>
  </si>
  <si>
    <t>Cantidad Media de Caña a Procesar</t>
  </si>
  <si>
    <t>Kg /jor</t>
  </si>
  <si>
    <t>Factor de Utilización de Aireación Promedio</t>
  </si>
  <si>
    <t>Factor de Utilización de Aireación Maxima</t>
  </si>
  <si>
    <t>Cabeza de Bombeo</t>
  </si>
  <si>
    <t xml:space="preserve">Diferencia de Altura </t>
  </si>
  <si>
    <t>Concentración de OD Media en el Estanque</t>
  </si>
  <si>
    <t>g CaCO3/g NH4</t>
  </si>
  <si>
    <t>Cantidad Media de Caña a Suministrar</t>
  </si>
  <si>
    <t>Cantidad Máxima de Caña a Suministrar</t>
  </si>
  <si>
    <t>Peso Inicial por Pez</t>
  </si>
  <si>
    <t>Peso Final por Pez</t>
  </si>
  <si>
    <t>Peso Final del Total de Peces</t>
  </si>
  <si>
    <t xml:space="preserve">Factor de Correcciòn por Salinidad y Tensión Superficial </t>
  </si>
  <si>
    <t>Ecuación A-3</t>
  </si>
  <si>
    <t xml:space="preserve">Características del Sistema de Aireación </t>
  </si>
  <si>
    <t>Cantidad Total de Caña a Suministrar</t>
  </si>
  <si>
    <t>Ton/año</t>
  </si>
  <si>
    <t>Hectáreas</t>
  </si>
  <si>
    <t>Area Requerida de Caña por Planta Parab</t>
  </si>
  <si>
    <t>Porcentaje de Hojas y Cogollos en Carbohidratos de la Caña</t>
  </si>
  <si>
    <t>Porcentaje de Carbohidratos de Fácil Degradación</t>
  </si>
  <si>
    <t>Composición del Carbono Suministrado</t>
  </si>
  <si>
    <t>Azucares</t>
  </si>
  <si>
    <t>Hojas y Cogollos</t>
  </si>
  <si>
    <t>Tasa de Consumo de Oxígeno a 24°C</t>
  </si>
  <si>
    <t>Producción Anual de Pescado</t>
  </si>
  <si>
    <t>Volumen de Agua por Par de Estanques</t>
  </si>
  <si>
    <t>Caudal Mínimo de la Fuente Requerido</t>
  </si>
  <si>
    <t>7"</t>
  </si>
  <si>
    <t>5" x 4"</t>
  </si>
  <si>
    <t>e-1531 4AD</t>
  </si>
  <si>
    <t>Relación entre Compost producido y Peso de Caña</t>
  </si>
  <si>
    <t>Peso Seco del Compost Producido como Proporcion de la Caña</t>
  </si>
  <si>
    <t>bagazo  + biomasa</t>
  </si>
  <si>
    <t>Relación entre Biomasa producida y Carbohidratos suministrados</t>
  </si>
  <si>
    <t>Consumo de Energía por Trapiche</t>
  </si>
  <si>
    <t>kW-h/año</t>
  </si>
  <si>
    <t>Consumo de Energía por Picapastos</t>
  </si>
  <si>
    <t xml:space="preserve">Trapiche </t>
  </si>
  <si>
    <t>Picapastos</t>
  </si>
  <si>
    <t>Porcentaje Máximo de Humedad en el Compost</t>
  </si>
  <si>
    <t>mg/Kg peces - día</t>
  </si>
  <si>
    <t xml:space="preserve">Producción de Carne Bovina por Hectárea mediante Pastoreo </t>
  </si>
  <si>
    <t>Energìa Especìfica para Mezcla calculada</t>
  </si>
  <si>
    <t>Energìa Especìfica para Mezcla requerida</t>
  </si>
  <si>
    <t>&lt; 10</t>
  </si>
  <si>
    <t>°C</t>
  </si>
  <si>
    <r>
      <t>m</t>
    </r>
    <r>
      <rPr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/sg</t>
    </r>
  </si>
  <si>
    <t>Salinidad en partes por mil (gr/L)</t>
  </si>
  <si>
    <t xml:space="preserve">Therm Exel. "Physical characteristics of water (at the atmospheric pressure)". 2.003.   </t>
  </si>
  <si>
    <t>Metcalf &amp; Eddy. “Wastewater Engineering. Treatment and Reuse”. Mc Graw Hill.            4ª Edición, 2.003.</t>
  </si>
  <si>
    <t>https://www.thermexcel.com/english/tables/eau_atm.htm</t>
  </si>
  <si>
    <r>
      <t xml:space="preserve">Viscosidad Cinemática </t>
    </r>
    <r>
      <rPr>
        <b/>
        <sz val="11"/>
        <color rgb="FF000000"/>
        <rFont val="GreekC"/>
      </rPr>
      <t>J</t>
    </r>
  </si>
  <si>
    <r>
      <t xml:space="preserve">Viscosidad Dinámica </t>
    </r>
    <r>
      <rPr>
        <b/>
        <sz val="11"/>
        <color rgb="FF000000"/>
        <rFont val="GreekC"/>
      </rPr>
      <t>m</t>
    </r>
  </si>
  <si>
    <r>
      <t xml:space="preserve">Densidad </t>
    </r>
    <r>
      <rPr>
        <b/>
        <sz val="11"/>
        <color rgb="FF000000"/>
        <rFont val="GreekC"/>
      </rPr>
      <t>r</t>
    </r>
  </si>
  <si>
    <t>Temperatura T</t>
  </si>
  <si>
    <t>Concentración de Saturación de O2  para T y salinidad a nivel del mar  C(s,T)</t>
  </si>
  <si>
    <t>Presión de Vapor Hv</t>
  </si>
  <si>
    <t>Area Interceptada por Tubo Transversal</t>
  </si>
  <si>
    <t>SOTE</t>
  </si>
  <si>
    <t>SOTR</t>
  </si>
  <si>
    <t>AOTR</t>
  </si>
  <si>
    <t xml:space="preserve">Transferencia de Oxígeno en Condiciones de Terreno por Parrilla </t>
  </si>
  <si>
    <t>Clasificación de la Información</t>
  </si>
  <si>
    <t>Parámetros de Diseño Asumidos</t>
  </si>
  <si>
    <t>Parámetros y Datos de Diseño Calculados</t>
  </si>
  <si>
    <t>Calculo Alterno</t>
  </si>
  <si>
    <t>Diferencia</t>
  </si>
  <si>
    <t>Pérdidas Totales:</t>
  </si>
  <si>
    <t>Ramal</t>
  </si>
  <si>
    <t>Pérdidas:</t>
  </si>
  <si>
    <t xml:space="preserve">Material </t>
  </si>
  <si>
    <t>PVC</t>
  </si>
  <si>
    <r>
      <t>Coeficiente C</t>
    </r>
    <r>
      <rPr>
        <vertAlign val="subscript"/>
        <sz val="11"/>
        <color rgb="FF000000"/>
        <rFont val="Arial"/>
        <family val="2"/>
      </rPr>
      <t>HW</t>
    </r>
    <r>
      <rPr>
        <sz val="11"/>
        <color rgb="FF000000"/>
        <rFont val="Arial"/>
        <family val="2"/>
        <charset val="1"/>
      </rPr>
      <t>:</t>
    </r>
  </si>
  <si>
    <t xml:space="preserve">Velocidad Media </t>
  </si>
  <si>
    <t>Km</t>
  </si>
  <si>
    <t>Cantidad</t>
  </si>
  <si>
    <t>PEAD</t>
  </si>
  <si>
    <t>Tee con salida lateral</t>
  </si>
  <si>
    <t>Codo  de radio corto</t>
  </si>
  <si>
    <t xml:space="preserve">Caudal  </t>
  </si>
  <si>
    <t>Tee  con entrada lateral</t>
  </si>
  <si>
    <t>Salida de Descarga de Bomba</t>
  </si>
  <si>
    <t>Entrada de Succión de Bomba</t>
  </si>
  <si>
    <t>Manguera que conecta a Estanque</t>
  </si>
  <si>
    <t>Codos a 45°</t>
  </si>
  <si>
    <t xml:space="preserve">Parrilla de Aireación </t>
  </si>
  <si>
    <t>Tee en setido recto</t>
  </si>
  <si>
    <t>Pérdidas de Cabeza en la Boquilla</t>
  </si>
  <si>
    <t>Taco</t>
  </si>
  <si>
    <t>Modelo 4007</t>
  </si>
  <si>
    <t>2, HP</t>
  </si>
  <si>
    <t>Salinidad del Agua</t>
  </si>
  <si>
    <t>gr/L</t>
  </si>
  <si>
    <t>Factor de Seguridad en el Suministro de Oxígeno</t>
  </si>
  <si>
    <t>Altura de la Garganta</t>
  </si>
  <si>
    <t>Tipo K</t>
  </si>
  <si>
    <t>Area de Entradas de Aire al Tubo Transversal</t>
  </si>
  <si>
    <t>Relación de Areas de Garganta y de Ranura</t>
  </si>
  <si>
    <t>Saturación de O2 en Condiciones Standard (nivel del mar y 20°C)</t>
  </si>
  <si>
    <t>Mazzei Aeration (Ref. A-13)</t>
  </si>
  <si>
    <t>Metcalf &amp; Eddy. (Ref. A-1) para ARD</t>
  </si>
  <si>
    <t>Indicadores</t>
  </si>
  <si>
    <t>Condiciones de Aireación y Mexcla</t>
  </si>
  <si>
    <t>Cálculo del Compostaje</t>
  </si>
  <si>
    <t>Relación C/N para Asimilación del Nitrógeno</t>
  </si>
  <si>
    <t>Tabla "Parrilla de Aireación"</t>
  </si>
  <si>
    <t>D = 2*H</t>
  </si>
  <si>
    <t>Estequiometría Ecuación C-1</t>
  </si>
  <si>
    <t>No de Boquillas para Mezcla</t>
  </si>
  <si>
    <t xml:space="preserve">Tubería de Salida de Estanques </t>
  </si>
  <si>
    <t>N</t>
  </si>
  <si>
    <t>Factor Tranferencia de O2 en Condiciones Reales</t>
  </si>
  <si>
    <t>Diámetro Equivalente de la Boquilla</t>
  </si>
  <si>
    <t>Tee  con salida lateral</t>
  </si>
  <si>
    <t>Valvula de Cheque Bola o Cortina</t>
  </si>
  <si>
    <t>Pt</t>
  </si>
  <si>
    <t>Concentración de Saturación de O2 en el Terreno</t>
  </si>
  <si>
    <t xml:space="preserve">Concentración de Saturación de O2  para Temperatura </t>
  </si>
  <si>
    <t>Concentración de Saturación de O2  para Temperatura  y Altitud</t>
  </si>
  <si>
    <t>Pérdidas de Cabeza en Tuberías de Descarga</t>
  </si>
  <si>
    <r>
      <t>Cs</t>
    </r>
    <r>
      <rPr>
        <vertAlign val="subscript"/>
        <sz val="11"/>
        <rFont val="Arial"/>
        <family val="2"/>
      </rPr>
      <t xml:space="preserve">T </t>
    </r>
  </si>
  <si>
    <r>
      <t>Cs</t>
    </r>
    <r>
      <rPr>
        <vertAlign val="subscript"/>
        <sz val="11"/>
        <rFont val="Arial"/>
        <family val="2"/>
      </rPr>
      <t xml:space="preserve">TA </t>
    </r>
  </si>
  <si>
    <t xml:space="preserve">Productividad de Tallos de Caña </t>
  </si>
  <si>
    <t>Productividad de Hojas y Cogollos (17%)</t>
  </si>
  <si>
    <t>Densidad del Bagazo Picado</t>
  </si>
  <si>
    <t>Modelo PE-800 de Penagos</t>
  </si>
  <si>
    <t xml:space="preserve">Capacidad del Picapastos </t>
  </si>
  <si>
    <t>Modelo 16 de JMESTRADA</t>
  </si>
  <si>
    <t>Diferencia de Altura Estanques - Aspersores</t>
  </si>
  <si>
    <t>Caudal  Total</t>
  </si>
  <si>
    <t>Calcullar con Función Objetivo</t>
  </si>
  <si>
    <t>Ramal hacia a Aspersores</t>
  </si>
  <si>
    <t>Valvula de Compuerta Abierta</t>
  </si>
  <si>
    <t>Tee  en Sentido Recto</t>
  </si>
  <si>
    <t>No de Boquillas en Estanques</t>
  </si>
  <si>
    <t>Factor de Utilización de la Bomba de Recirculación</t>
  </si>
  <si>
    <t>Consumo de Energía de la Aireación</t>
  </si>
  <si>
    <t>kW-H/año</t>
  </si>
  <si>
    <t>Bomba de Aireación</t>
  </si>
  <si>
    <t>Caudal por Boquillas de Mezcla</t>
  </si>
  <si>
    <t>Bomba de Recirculación por el Filtro Percolador</t>
  </si>
  <si>
    <t>Bombeo de Recirculación desde Pozo hacia Estanques</t>
  </si>
  <si>
    <t>Bomba de Recirculación por el Lecho de Compostaje</t>
  </si>
  <si>
    <t xml:space="preserve">Relación de Areas de Entradas al Tubo y de la Ranura </t>
  </si>
  <si>
    <t>Area Interior del Tubo de Agua</t>
  </si>
  <si>
    <t>Diámetro Externo del Tubo Transversal  de Aire</t>
  </si>
  <si>
    <t>Area de las Gargantas</t>
  </si>
  <si>
    <t>Tasa de Aporte  de Oxígeno por Parrilla</t>
  </si>
  <si>
    <t>Potencia Hidráulica por Parrilla</t>
  </si>
  <si>
    <t>No de Parrillas por Par de Estanques</t>
  </si>
  <si>
    <t xml:space="preserve">Tasa de Aporte  de Oxígeno por Parrillas a cada par de Estanques  </t>
  </si>
  <si>
    <t>Bombeo de Aireación en Estanques</t>
  </si>
  <si>
    <r>
      <t xml:space="preserve">Excreción de Nitrógeno </t>
    </r>
    <r>
      <rPr>
        <sz val="11"/>
        <rFont val="Arial"/>
        <family val="2"/>
      </rPr>
      <t>Media Diaria</t>
    </r>
  </si>
  <si>
    <t>Lado Interior de la Boquilla</t>
  </si>
  <si>
    <t>H</t>
  </si>
  <si>
    <t>TACO Modelo 4007 Rotor 7"</t>
  </si>
  <si>
    <t>Bell &amp; Gosset e-1531 Rotor 7"</t>
  </si>
  <si>
    <t>Cabeza de Diseño:</t>
  </si>
  <si>
    <t>Caudal de Diseño:</t>
  </si>
  <si>
    <t>Hoja "Parrilla de Aireación"</t>
  </si>
  <si>
    <t>Hoja "Tuberías Varias"</t>
  </si>
  <si>
    <t>Hoja "Tuberias de Aireación Estanques "</t>
  </si>
  <si>
    <t>Hoja "Agua-T(°C)</t>
  </si>
  <si>
    <t>Variable de Ajuste</t>
  </si>
  <si>
    <t>Hoja "Suministro de Alimento y O2"</t>
  </si>
  <si>
    <t>Profundidad de Aireación</t>
  </si>
  <si>
    <t>Penetración Adicional del Chorrro</t>
  </si>
  <si>
    <t>Profundidad de las Boquillas a 45°</t>
  </si>
  <si>
    <t>Peces/m3</t>
  </si>
  <si>
    <t>Máxima Densidad de Alevinos en Jaulas especificada</t>
  </si>
  <si>
    <t xml:space="preserve">Profundidad Mínima </t>
  </si>
  <si>
    <t>Máxima Densidad de Peces en Estanque de Engorde especificada</t>
  </si>
  <si>
    <t>CIDEA. “Manejo del Cultivo de Tilapia" (Ref. B-1)</t>
  </si>
  <si>
    <t>50 a 100</t>
  </si>
  <si>
    <t>Densidad de Peces en Estanque de Engorde calculada</t>
  </si>
  <si>
    <t>Densidad de Alevinos en Jaulas calculada</t>
  </si>
  <si>
    <t>Cantidad Media de Compost a Suministrar</t>
  </si>
  <si>
    <t xml:space="preserve">Perdidas </t>
  </si>
  <si>
    <t>Sistema de Riego  de Lecho de Compostaje</t>
  </si>
  <si>
    <t>Tramo 1</t>
  </si>
  <si>
    <t>Ramales</t>
  </si>
  <si>
    <t xml:space="preserve">Tubería de Succión </t>
  </si>
  <si>
    <t>Longitud del Tramo</t>
  </si>
  <si>
    <t>Caudal de Entrada por Tramo</t>
  </si>
  <si>
    <t>Tramo</t>
  </si>
  <si>
    <t>Caudal Inicial</t>
  </si>
  <si>
    <t>Tubería de Distribución en Lecho de Compostaje</t>
  </si>
  <si>
    <t>Bombeo desde Pozo de Nutrientes a Compostaje</t>
  </si>
  <si>
    <t>Km =</t>
  </si>
  <si>
    <t>Area Seccional</t>
  </si>
  <si>
    <t>No de Tramos</t>
  </si>
  <si>
    <t>Tee  en Setido Recto</t>
  </si>
  <si>
    <t xml:space="preserve">CALCULO DE PARRILLA DE AIREACION CON BOQUILLAS DE TUBO TRANSVERSAL </t>
  </si>
  <si>
    <t xml:space="preserve">Factor de Corrección de Transferencia de O2 </t>
  </si>
  <si>
    <t>PLANTA PARAB PARA LA CRIA DE TILAPIAS</t>
  </si>
  <si>
    <t>Cantidad Máxima de Vitamina C Suministrada</t>
  </si>
  <si>
    <t>Promedio Estanques Alevinos y Levante:</t>
  </si>
  <si>
    <t>Total Nitrógeno a Suministrar</t>
  </si>
  <si>
    <t>Fig. B-3, P. De Schryver  et al. (Ref. B-7)</t>
  </si>
  <si>
    <t>Pureza de la Cal</t>
  </si>
  <si>
    <t>Aporte de Alcalinidad por Gramo de Hidróxido de Calcio</t>
  </si>
  <si>
    <t>Aporte de Alcalinidad por Gramo de Cal Comercial</t>
  </si>
  <si>
    <t>gramos</t>
  </si>
  <si>
    <t>Compost a Suminstrar por Jornada</t>
  </si>
  <si>
    <t>Altura del Bagazo Picado en el Lecho</t>
  </si>
  <si>
    <t>Caña a Procesar por Jornada</t>
  </si>
  <si>
    <t>Kg/jornada</t>
  </si>
  <si>
    <t>Tiempo Máximo para Picar la Caña por Jornada</t>
  </si>
  <si>
    <t>Cantidad Máxima de Compost  por Jornada</t>
  </si>
  <si>
    <t>Urea</t>
  </si>
  <si>
    <t>Porcentaje del Alimento Máximo</t>
  </si>
  <si>
    <t>gr/Jor</t>
  </si>
  <si>
    <t>TOTAL</t>
  </si>
  <si>
    <t>Cantidad Máxima de Cal a Suministrar</t>
  </si>
  <si>
    <t>Requerimiento Máximo de Alcalinidad</t>
  </si>
  <si>
    <t xml:space="preserve">Concentración de Cloruro de Sodio en Estanques </t>
  </si>
  <si>
    <t>Volumen Máximo de Bagazo  por Jornada</t>
  </si>
  <si>
    <t>Cantidad Máxima de Bagazo y Hojas por Jornada</t>
  </si>
  <si>
    <t xml:space="preserve">Cantidad de Cloruro de Sodio a Añadir a cada Estanque Inicialmete </t>
  </si>
  <si>
    <t>Total de O2 Requerido por Estanques</t>
  </si>
  <si>
    <t>Consumo de Productos Quimicos</t>
  </si>
  <si>
    <t>Consumo Anual de Energía por Equipos Electromecánicos</t>
  </si>
  <si>
    <t>Toneladas/año</t>
  </si>
  <si>
    <t>Consumo Anual de Urea</t>
  </si>
  <si>
    <t>Consumo Anual de Cal</t>
  </si>
  <si>
    <t xml:space="preserve">Consumo Anual de Energía </t>
  </si>
  <si>
    <t>Consumo de Agua por Kg de Pescado producido</t>
  </si>
  <si>
    <t>Diseño del Equipo</t>
  </si>
  <si>
    <t>No de Cosechas al Año</t>
  </si>
  <si>
    <t>cosechas</t>
  </si>
  <si>
    <t>Porcentaje del Nitrógeno removido en Filtro Percolador</t>
  </si>
  <si>
    <t xml:space="preserve">Engorde  </t>
  </si>
  <si>
    <t>Estequiometría Ecuación B-1</t>
  </si>
  <si>
    <t>Periodicidad del Ciclo de Suministro de Insumos</t>
  </si>
  <si>
    <t>Planos de Diseño</t>
  </si>
  <si>
    <t>Volumen de Agua del Par de Estanques de Engorde</t>
  </si>
  <si>
    <t>Tiempo de Llenado Asumido</t>
  </si>
  <si>
    <t>Area Superficial por Par de Estanques</t>
  </si>
  <si>
    <t>Ancho de Estanques Octagonales</t>
  </si>
  <si>
    <t>Capacidad del Trapiche de 3HP</t>
  </si>
  <si>
    <t>Información del Fabricante</t>
  </si>
  <si>
    <t>FAO -Corpoica (Ref. B-42)</t>
  </si>
  <si>
    <t xml:space="preserve">Concentración de Oxígeno Disuelto en Estanques </t>
  </si>
  <si>
    <t>Ecuación A-2</t>
  </si>
  <si>
    <t>Funcion Objetivo: Valor de Hea</t>
  </si>
  <si>
    <t>Hea</t>
  </si>
  <si>
    <t>Hoja "Tubería hacia Filtro"</t>
  </si>
  <si>
    <t>Tabla B. 6,30, RAS</t>
  </si>
  <si>
    <t>Ecuación F-11</t>
  </si>
  <si>
    <t>Tasa de Conversion Alimenticia</t>
  </si>
  <si>
    <t>Kg alimento/Kg peces</t>
  </si>
  <si>
    <t>Manual  de Compostaje FAO (Ref. B-48)</t>
  </si>
  <si>
    <t xml:space="preserve">Eficiencia en Transferencia de O2 en Condiciones Estándar  </t>
  </si>
  <si>
    <t xml:space="preserve">Transferencia de O2 en Condiciones Estándar por Parrilla    </t>
  </si>
  <si>
    <t>Ton anuales</t>
  </si>
  <si>
    <t>Calculos del Filtro Percolador</t>
  </si>
  <si>
    <t xml:space="preserve">Espaciamiento Medio entre Tuberías </t>
  </si>
  <si>
    <t>Espaciamiento Medio entre Aspersores</t>
  </si>
  <si>
    <t>Altura Disponible</t>
  </si>
  <si>
    <t>Area del Filtro Percolador</t>
  </si>
  <si>
    <t>Ancho del Filtro</t>
  </si>
  <si>
    <t>Longitud del Filtro</t>
  </si>
  <si>
    <t>RECIRCULACION A TRAVES DEL FILTRO PERCOLADOR</t>
  </si>
  <si>
    <t>SISTEMA DE COMPOSTAJE</t>
  </si>
  <si>
    <t>Longitud del Lecho</t>
  </si>
  <si>
    <t>Ancho  de cada Lecho</t>
  </si>
  <si>
    <t>Factor de Conversión Alimenticia con Compost</t>
  </si>
  <si>
    <t>kg Compost/kg Pez</t>
  </si>
  <si>
    <t>Consumo Anual de Energía por Bomba de Recirculación</t>
  </si>
  <si>
    <t>Román Jimenez (Ref. B-29)</t>
  </si>
  <si>
    <t>Shi-Yen Shiau, Yu- Hung Lin. (Ref. B-28)</t>
  </si>
  <si>
    <t>Yoram Avnimelech (Ref. B-11)</t>
  </si>
  <si>
    <t>No de Alevinos por Bolsa</t>
  </si>
  <si>
    <t>Cl</t>
  </si>
  <si>
    <t>Productividad de la Caña en Materia Seca</t>
  </si>
  <si>
    <t xml:space="preserve">Andrew J. Ray et al (Ref. B-78).  Num. B-9.6 </t>
  </si>
  <si>
    <t>Area de Flujo por Aspersor</t>
  </si>
  <si>
    <t>Numeral D-7,2</t>
  </si>
  <si>
    <t xml:space="preserve">Ecuación A-20 de M.R. Ghomi (Ref. A-19) </t>
  </si>
  <si>
    <t xml:space="preserve">Ecuación A-18 de M.R. Ghomi (Ref. A-19) </t>
  </si>
  <si>
    <t xml:space="preserve">Ecuación A-19 de M.R. Ghomi (Ref. A-19) </t>
  </si>
  <si>
    <t xml:space="preserve">Densidad  del Compost </t>
  </si>
  <si>
    <t xml:space="preserve">Densidad  Final del Bioflócs </t>
  </si>
  <si>
    <t>Altura del Bioflócs en el Filtro Percolador</t>
  </si>
  <si>
    <t>Relación de Compactación de los Bioflócs</t>
  </si>
  <si>
    <t>Volumen de Bioflócs Producido por Jornada</t>
  </si>
  <si>
    <t>INTRUCCIONES SOBRE EL CÁLCULO ALTERNO</t>
  </si>
  <si>
    <t xml:space="preserve">Para revertir esta operación, se coloca en la casilla  del parámetro modificado el valor correspondiente </t>
  </si>
  <si>
    <t xml:space="preserve">Para hacer la gráfica de un parámetro contra divesas variables, se ejecutan las siguientes instrucciones: </t>
  </si>
  <si>
    <t xml:space="preserve">- Los valores del parámetro van en la abscisa o eje horizontal, y los de las variables en las ordenadas. </t>
  </si>
  <si>
    <t>- Se rellena la fila a la derecha del parámetro con valores que se incrementan una cantidad fija.</t>
  </si>
  <si>
    <t xml:space="preserve">- Al finalizar, se copian los valores de la abcisa y las ordenadas, y se pegan traspuestos en otra hoja. </t>
  </si>
  <si>
    <t>Esta operación permite analizar el cambio de las variables calculadas al cambiar algunos parámetros.</t>
  </si>
  <si>
    <t>El cálculo alterno se realiza modificando el valor de uno o varios  parámetros en esta columna.</t>
  </si>
  <si>
    <t>Los parámetros que se puden modificar corresponden a la Información de Entrada.</t>
  </si>
  <si>
    <t xml:space="preserve">El color de este parámetro se cambia a un color distintivo para diferenciarlo. </t>
  </si>
  <si>
    <t>En el cálculo alterno es necesario aplicar la Función Objetivo en los parámetros indicados.</t>
  </si>
  <si>
    <t xml:space="preserve">Cuando el cambio en el parámetro afecta el caudal, podrían requerirse cambios en dimensiones de </t>
  </si>
  <si>
    <t>tuberías y estructuras.</t>
  </si>
  <si>
    <t>Para incorporar los cambios en el cálculo original, se copian en este los datos del Cálculo Alterno,</t>
  </si>
  <si>
    <t>- En el Cálculo Alterno se coloca sucesivamente cada valor del parámetro, y los valores de las variables</t>
  </si>
  <si>
    <t xml:space="preserve">  de interés se copian en la misma fila, y en la columna correspondiente al valor del parámetro.</t>
  </si>
  <si>
    <t>- Esta operación se repite para todos los valores del parámetro.</t>
  </si>
  <si>
    <t xml:space="preserve">Pérdidas </t>
  </si>
  <si>
    <t xml:space="preserve">Se puede tener en la abscisa una variable (p.e. caudal) que sea directamente proporcional al parámetro </t>
  </si>
  <si>
    <t>que se cambia (p.e. velocidad de los chorros)</t>
  </si>
  <si>
    <t>y luego se quita el color distitivo en este último.</t>
  </si>
  <si>
    <t>- Se realiza la gráfica a partir de las columnas de la abcisa y de las ordenadas.</t>
  </si>
  <si>
    <t xml:space="preserve">         Pérdidas :</t>
  </si>
  <si>
    <t>Diámetro D</t>
  </si>
  <si>
    <t>Caudal Q</t>
  </si>
  <si>
    <t>Pérdidas hf</t>
  </si>
  <si>
    <t>Numeral F-5,4</t>
  </si>
  <si>
    <t>Perdidas de Cabeza en la Boquilla</t>
  </si>
  <si>
    <r>
      <rPr>
        <sz val="11"/>
        <rFont val="GreekC"/>
      </rPr>
      <t>∅</t>
    </r>
    <r>
      <rPr>
        <sz val="11"/>
        <rFont val="Arial"/>
        <family val="2"/>
      </rPr>
      <t xml:space="preserve"> ¨1/4" tipo K</t>
    </r>
  </si>
  <si>
    <t>Hoja "Parab Tilapias"</t>
  </si>
  <si>
    <t>Fco</t>
  </si>
  <si>
    <t>Notas</t>
  </si>
  <si>
    <t>a la columna E, y luego se quita el color distintivo.</t>
  </si>
  <si>
    <t>Es importante verificar el cumplimento de las condiciones indIcadas en la columna D</t>
  </si>
  <si>
    <t>1/8"</t>
  </si>
  <si>
    <t>N.sg/m2</t>
  </si>
  <si>
    <t>Tubería de Recirculación</t>
  </si>
  <si>
    <t>Varriable de Ajuste</t>
  </si>
  <si>
    <t>Fernando Kubitza (Ref. B-27)</t>
  </si>
  <si>
    <t xml:space="preserve">  Alternativas de Bomba de Aireación de Estanques</t>
  </si>
  <si>
    <t>7.5"</t>
  </si>
  <si>
    <t>Variable a Establecer</t>
  </si>
  <si>
    <t>Tasa de Recirculación de Agua del Estanque a través del Lecho</t>
  </si>
  <si>
    <t>Bombeo de Recirculación desde Filtro Percolador hacia Estanques</t>
  </si>
  <si>
    <t>Tiempo de Recirculación del Volumen de Estanques a través del Filtro</t>
  </si>
  <si>
    <t>Periodo de Filtración</t>
  </si>
  <si>
    <t>Volumen Total de Estanques</t>
  </si>
  <si>
    <t>Velocidad en Garganta de las Boquillas</t>
  </si>
  <si>
    <t>Tiempo de Bombeo de Recirculación</t>
  </si>
  <si>
    <t>Perdidas en Tubería</t>
  </si>
  <si>
    <t>Area Ocupada</t>
  </si>
  <si>
    <t>Consumo de Agua</t>
  </si>
  <si>
    <t>Perdidas en Tubería de Riego</t>
  </si>
  <si>
    <t>Velocidad en la Boquilla</t>
  </si>
  <si>
    <t>Caudal de Bomba en Tanque de Solución de Nutrientes</t>
  </si>
  <si>
    <t>Diferencia de Altura de Aspersores</t>
  </si>
  <si>
    <t>Sistema de Riego del Filtro Percolador</t>
  </si>
  <si>
    <t>Hb</t>
  </si>
  <si>
    <t>Cabeza en la Boquilla</t>
  </si>
  <si>
    <t>Funcion Objetivo: Valor de Hb</t>
  </si>
  <si>
    <t>Cabeza de Bombeo de Riego</t>
  </si>
  <si>
    <t>3d4c7a4cfb3d9c3315bc99cae9417395.pdf (quiminet.com)</t>
  </si>
  <si>
    <t>Cantidad de Peces en Engorde a Cosechar</t>
  </si>
  <si>
    <t>Cal Agrícola</t>
  </si>
  <si>
    <t>Fertilizante NPK - 15-15-15-(10)S - Diproagro</t>
  </si>
  <si>
    <t>Proporción de Fósforo Requerido en la Alimentación</t>
  </si>
  <si>
    <t>Proporción de Potasio Requerido en la Alimentación</t>
  </si>
  <si>
    <t>kg/día</t>
  </si>
  <si>
    <t>Consumo Anual de Abono Triple 15</t>
  </si>
  <si>
    <t>Abono Triple 15</t>
  </si>
  <si>
    <t>Cantidad Máxima de Abono Triple 15 a Suministrar por Día</t>
  </si>
  <si>
    <t xml:space="preserve">Ref. B-25. FAO. “NUTRICION Y ALIMENTACION DE PECES Y CAMARONES. 6. NUTRIENTES ESENCIALES-MINERALES”. Tabla 12  </t>
  </si>
  <si>
    <t>Cantidad Máxima de Nitrógeno en Abono Triple 15 por día</t>
  </si>
  <si>
    <t>Cantidad Máxima de Nitrógeno Aportado por Urea por Jornada</t>
  </si>
  <si>
    <t>kg/jor</t>
  </si>
  <si>
    <t>Proporción de Nitrógeno, Fósforo y Potasio en Abono Triple 15</t>
  </si>
  <si>
    <t xml:space="preserve">Nitrógeno a Adicionar </t>
  </si>
  <si>
    <t>Cantidad Máxima de Nitrógeno Requerido</t>
  </si>
  <si>
    <t>Cantidad Máxima de Nitrógeno aportado por la Urea</t>
  </si>
  <si>
    <t>Proporción de Triple 15 Requerido para Suministro de P y K</t>
  </si>
  <si>
    <t>Cantidad de Lisina a Suministrar como % del Alimento</t>
  </si>
  <si>
    <t>Tabla B-3</t>
  </si>
  <si>
    <t>Cantidad de Glucosa a Procesar como % del Alimento</t>
  </si>
  <si>
    <t xml:space="preserve">mg/kg  </t>
  </si>
  <si>
    <t>Cantidad de Biotina a Suministrar por Kg de Glucosa a Procesar</t>
  </si>
  <si>
    <t xml:space="preserve">mg/ton </t>
  </si>
  <si>
    <t>Cantidad de Biotina a Suministrar por Tonelada de Alimento</t>
  </si>
  <si>
    <t>Cantidad Máxima de Biotina a Suministrar</t>
  </si>
  <si>
    <t>Omar Anaya-Reza y Teresa Lopez-Arenas (Ref. B-23)</t>
  </si>
  <si>
    <t>Amjed Hussain et al (Ref. B-23)</t>
  </si>
  <si>
    <t>Tasa de Excreción  de N   Fig. B-24</t>
  </si>
  <si>
    <t>Consumo de Energía</t>
  </si>
  <si>
    <t>Proporción de Glucosa en Alimento</t>
  </si>
  <si>
    <t>Proporción de la Glucosa a Convertir en Lisina</t>
  </si>
  <si>
    <t>% de Proteína en Concentrado</t>
  </si>
  <si>
    <r>
      <t xml:space="preserve">Concentrado como % del Peso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de Referencia</t>
    </r>
  </si>
  <si>
    <t>Concentrado Diario de Referencia Requrido</t>
  </si>
  <si>
    <r>
      <t xml:space="preserve">Consumo de O2 por Peces </t>
    </r>
    <r>
      <rPr>
        <sz val="10"/>
        <rFont val="Arial"/>
        <family val="2"/>
      </rPr>
      <t>Ecuación B-6</t>
    </r>
  </si>
  <si>
    <t>Biotina (Vitamina B7)</t>
  </si>
  <si>
    <t>mg/jor</t>
  </si>
  <si>
    <t>mg/Jor</t>
  </si>
  <si>
    <t>Promedio Alevinos y Levante:</t>
  </si>
  <si>
    <t>Promedio para Engorde:</t>
  </si>
  <si>
    <t>Promedio Diario Total:</t>
  </si>
  <si>
    <t>Consumo de Oxígeno por Peces</t>
  </si>
  <si>
    <t>Suministro de Caña de Azúcar a la Planta</t>
  </si>
  <si>
    <t>Suministro de Insumos Químicos a la Planta</t>
  </si>
  <si>
    <t>Parámetros de Entrada por Módulo de 2 Estanques</t>
  </si>
  <si>
    <t>Número de Móduloes por Planta</t>
  </si>
  <si>
    <t>Consumo de Energía por Equipos Electromecánicos por Módulo</t>
  </si>
  <si>
    <t>Programación del Suministro de Oxígeno y Nitrógeno por Módulo</t>
  </si>
  <si>
    <t>Móduloes</t>
  </si>
  <si>
    <t>Volumen de Agua por Módulo</t>
  </si>
  <si>
    <t>No de Peces al Final de la Etapa por Módulo</t>
  </si>
  <si>
    <t>Resumen del Desarrollo y la Alimentación de las Tilapias en la Planta Parab de 2 Módulos</t>
  </si>
  <si>
    <t>PROGRAMACION DEL SUMINISTRO DE ALIMENTO Y COMPOST POR MODULO</t>
  </si>
  <si>
    <t>PROGRAMACION DEL SUMINISTRO DE PRODUCTOS QUIMICOS POR MODULO</t>
  </si>
  <si>
    <t>Caudal de Bomba de Recirculación</t>
  </si>
  <si>
    <t>Area Requerida para Cultivo de Caña</t>
  </si>
  <si>
    <t>Area Requedida para la Planta Parab</t>
  </si>
  <si>
    <t>ANALISIS DE LA PRODUCTIVIDAD Y DE LOS INSUMOS ECONOMICOS Y AMBIENTALES</t>
  </si>
  <si>
    <t>Consumo de Agua por Llenado de Estanques de Engorde</t>
  </si>
  <si>
    <t xml:space="preserve">Parámetros  tomados de la Literatura Científica o Técnica </t>
  </si>
  <si>
    <t>Información de Salida</t>
  </si>
  <si>
    <t>Resultados Finales e Indicadores de Desempeño</t>
  </si>
  <si>
    <t>Otros Cálculos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</si>
</sst>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(* #,##0.00_);_(* \(#,##0.00\);_(* \-??_);_(@_)"/>
    <numFmt numFmtId="165" formatCode="0.0"/>
    <numFmt numFmtId="166" formatCode="0.000"/>
    <numFmt numFmtId="167" formatCode="_-* #,##0.00\ _€_-;\-* #,##0.00\ _€_-;_-* \-??\ _€_-;_-@_-"/>
    <numFmt numFmtId="168" formatCode="0.000000"/>
    <numFmt numFmtId="169" formatCode="_ * #,##0.00_ ;_ * \-#,##0.00_ ;_ * \-??_ ;_ @_ "/>
    <numFmt numFmtId="170" formatCode="0.0%"/>
    <numFmt numFmtId="171" formatCode="_-&quot;$ &quot;* #,##0_-;&quot;-$ &quot;* #,##0_-;_-&quot;$ &quot;* \-_-;_-@_-"/>
    <numFmt numFmtId="172" formatCode="_(* #,##0.00_);_(* \(#,##0.00\);_(* \-???_);_(@_)"/>
    <numFmt numFmtId="173" formatCode="#,##0.0"/>
    <numFmt numFmtId="174" formatCode="_(* #,##0_);_(* \(#,##0\);_(* \-???_);_(@_)"/>
    <numFmt numFmtId="175" formatCode="&quot;$ &quot;#,##0_);[Red]&quot;($ &quot;#,##0\)"/>
    <numFmt numFmtId="176" formatCode="_-* #,##0_-;\-* #,##0_-;_-* \-_-;_-@_-"/>
    <numFmt numFmtId="177" formatCode="_ * #,##0.00_ ;_ * \-#,##0.00_ ;_ * &quot;-&quot;??_ ;_ @_ "/>
    <numFmt numFmtId="178" formatCode="_(* #,##0.00_);_(* \(#,##0.00\);_(* &quot;-&quot;??_);_(@_)"/>
    <numFmt numFmtId="179" formatCode="#,##0.000"/>
  </numFmts>
  <fonts count="39" x14ac:knownFonts="1">
    <font>
      <sz val="10"/>
      <name val="Arial"/>
      <charset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1"/>
      <color rgb="FFFF000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sz val="10"/>
      <name val="Arial"/>
      <family val="2"/>
      <charset val="1"/>
    </font>
    <font>
      <u/>
      <sz val="10"/>
      <color rgb="FF0000FF"/>
      <name val="Arial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0"/>
      <color rgb="FFFF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  <charset val="1"/>
    </font>
    <font>
      <vertAlign val="superscript"/>
      <sz val="11"/>
      <color rgb="FF000000"/>
      <name val="Arial"/>
      <family val="2"/>
    </font>
    <font>
      <vertAlign val="subscript"/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GreekC"/>
    </font>
    <font>
      <b/>
      <sz val="12"/>
      <name val="Arial"/>
      <family val="2"/>
      <charset val="1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rgb="FFFF0000"/>
      <name val="Arial"/>
      <family val="2"/>
    </font>
    <font>
      <vertAlign val="subscript"/>
      <sz val="11"/>
      <name val="Arial"/>
      <family val="2"/>
    </font>
    <font>
      <sz val="12"/>
      <name val="Arial"/>
      <family val="2"/>
    </font>
    <font>
      <sz val="16"/>
      <color rgb="FF000000"/>
      <name val="Arial"/>
      <family val="2"/>
    </font>
    <font>
      <sz val="12"/>
      <color rgb="FF000000"/>
      <name val="Arial"/>
      <family val="2"/>
    </font>
    <font>
      <b/>
      <sz val="14"/>
      <name val="Arial"/>
      <family val="2"/>
      <charset val="1"/>
    </font>
    <font>
      <b/>
      <sz val="12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theme="3" tint="0.39997558519241921"/>
      <name val="Arial"/>
      <family val="2"/>
    </font>
    <font>
      <b/>
      <sz val="11"/>
      <color theme="3" tint="0.39997558519241921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sz val="11"/>
      <name val="GreekC"/>
    </font>
  </fonts>
  <fills count="45">
    <fill>
      <patternFill patternType="none"/>
    </fill>
    <fill>
      <patternFill patternType="gray125"/>
    </fill>
    <fill>
      <patternFill patternType="solid">
        <fgColor rgb="FFCCFF99"/>
        <bgColor rgb="FFEBFED2"/>
      </patternFill>
    </fill>
    <fill>
      <patternFill patternType="solid">
        <fgColor rgb="FFFDEADA"/>
        <bgColor rgb="FFEEECE1"/>
      </patternFill>
    </fill>
    <fill>
      <patternFill patternType="solid">
        <fgColor rgb="FFFFFFCC"/>
        <bgColor rgb="FFEBFED2"/>
      </patternFill>
    </fill>
    <fill>
      <patternFill patternType="solid">
        <fgColor rgb="FFD2F9FE"/>
        <bgColor rgb="FFCCFFFF"/>
      </patternFill>
    </fill>
    <fill>
      <patternFill patternType="solid">
        <fgColor rgb="FFCCFFFF"/>
        <bgColor rgb="FFD2F9FE"/>
      </patternFill>
    </fill>
    <fill>
      <patternFill patternType="solid">
        <fgColor rgb="FFFFFFFF"/>
        <bgColor rgb="FFF9F9F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rgb="FFDCE6F2"/>
      </patternFill>
    </fill>
    <fill>
      <patternFill patternType="solid">
        <fgColor theme="0"/>
        <bgColor rgb="FFDCE6F2"/>
      </patternFill>
    </fill>
    <fill>
      <patternFill patternType="solid">
        <fgColor theme="5" tint="0.79998168889431442"/>
        <bgColor rgb="FFEBFED2"/>
      </patternFill>
    </fill>
    <fill>
      <patternFill patternType="solid">
        <fgColor rgb="FFCEF8FE"/>
        <bgColor rgb="FFEBF1DE"/>
      </patternFill>
    </fill>
    <fill>
      <patternFill patternType="solid">
        <fgColor theme="5" tint="0.79998168889431442"/>
        <bgColor rgb="FFEBF1DE"/>
      </patternFill>
    </fill>
    <fill>
      <patternFill patternType="solid">
        <fgColor rgb="FFD6EBF2"/>
        <bgColor indexed="64"/>
      </patternFill>
    </fill>
    <fill>
      <patternFill patternType="solid">
        <fgColor rgb="FFDEEBF7"/>
        <bgColor rgb="FFDBEEF4"/>
      </patternFill>
    </fill>
    <fill>
      <patternFill patternType="solid">
        <fgColor theme="4" tint="0.79998168889431442"/>
        <bgColor rgb="FFEBF1DE"/>
      </patternFill>
    </fill>
    <fill>
      <patternFill patternType="solid">
        <fgColor theme="0"/>
        <bgColor rgb="FFEBFED2"/>
      </patternFill>
    </fill>
    <fill>
      <patternFill patternType="solid">
        <fgColor rgb="FFCCFF99"/>
        <bgColor rgb="FFCCFFCC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rgb="FFFBE5D6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rgb="FFDBEEF4"/>
      </patternFill>
    </fill>
    <fill>
      <patternFill patternType="solid">
        <fgColor rgb="FFFFF2CC"/>
        <bgColor rgb="FFDEEBF7"/>
      </patternFill>
    </fill>
    <fill>
      <patternFill patternType="solid">
        <fgColor rgb="FFCEF8FE"/>
        <bgColor rgb="FFEBFED2"/>
      </patternFill>
    </fill>
    <fill>
      <patternFill patternType="solid">
        <fgColor theme="0"/>
        <bgColor rgb="FFEBF1DE"/>
      </patternFill>
    </fill>
    <fill>
      <patternFill patternType="solid">
        <fgColor theme="4" tint="0.79998168889431442"/>
        <bgColor rgb="FFDBEEF4"/>
      </patternFill>
    </fill>
    <fill>
      <patternFill patternType="solid">
        <fgColor rgb="FFCEF8FE"/>
        <bgColor indexed="64"/>
      </patternFill>
    </fill>
    <fill>
      <patternFill patternType="solid">
        <fgColor theme="7" tint="0.79998168889431442"/>
        <bgColor rgb="FFDBEEF4"/>
      </patternFill>
    </fill>
    <fill>
      <patternFill patternType="solid">
        <fgColor rgb="FFCEF8FE"/>
        <bgColor rgb="FFDCE6F2"/>
      </patternFill>
    </fill>
    <fill>
      <patternFill patternType="solid">
        <fgColor theme="0"/>
        <bgColor rgb="FFCCFFFF"/>
      </patternFill>
    </fill>
    <fill>
      <patternFill patternType="solid">
        <fgColor theme="7" tint="0.79998168889431442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EECE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rgb="FFEEECE1"/>
      </patternFill>
    </fill>
    <fill>
      <patternFill patternType="solid">
        <fgColor theme="7" tint="0.79998168889431442"/>
        <bgColor rgb="FFDCE6F2"/>
      </patternFill>
    </fill>
    <fill>
      <patternFill patternType="solid">
        <fgColor theme="8" tint="0.79998168889431442"/>
        <bgColor rgb="FFCCFFFF"/>
      </patternFill>
    </fill>
    <fill>
      <patternFill patternType="solid">
        <fgColor theme="8" tint="0.79998168889431442"/>
        <bgColor rgb="FFEBFED2"/>
      </patternFill>
    </fill>
    <fill>
      <patternFill patternType="solid">
        <fgColor theme="5" tint="0.79998168889431442"/>
        <bgColor rgb="FFDEEBF7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rgb="FFEEECE1"/>
      </patternFill>
    </fill>
    <fill>
      <patternFill patternType="solid">
        <fgColor theme="7" tint="0.79998168889431442"/>
        <bgColor rgb="FFEBFED2"/>
      </patternFill>
    </fill>
    <fill>
      <patternFill patternType="solid">
        <fgColor theme="8" tint="0.79998168889431442"/>
        <bgColor rgb="FFEBF1DE"/>
      </patternFill>
    </fill>
    <fill>
      <patternFill patternType="solid">
        <fgColor theme="5" tint="0.79998168889431442"/>
        <bgColor rgb="FFCCFFFF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10">
    <xf numFmtId="0" fontId="0" fillId="0" borderId="0"/>
    <xf numFmtId="9" fontId="8" fillId="0" borderId="0" applyBorder="0" applyProtection="0"/>
    <xf numFmtId="0" fontId="7" fillId="0" borderId="0" applyBorder="0" applyProtection="0"/>
    <xf numFmtId="164" fontId="8" fillId="0" borderId="0" applyBorder="0" applyProtection="0"/>
    <xf numFmtId="0" fontId="1" fillId="0" borderId="0"/>
    <xf numFmtId="0" fontId="1" fillId="0" borderId="0"/>
    <xf numFmtId="9" fontId="8" fillId="0" borderId="0" applyBorder="0" applyProtection="0"/>
    <xf numFmtId="9" fontId="8" fillId="0" borderId="0" applyBorder="0" applyProtection="0"/>
    <xf numFmtId="171" fontId="8" fillId="0" borderId="0" applyBorder="0" applyProtection="0"/>
    <xf numFmtId="176" fontId="8" fillId="0" borderId="0" applyBorder="0" applyProtection="0"/>
  </cellStyleXfs>
  <cellXfs count="9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 indent="1"/>
    </xf>
    <xf numFmtId="0" fontId="4" fillId="5" borderId="1" xfId="0" applyFont="1" applyFill="1" applyBorder="1"/>
    <xf numFmtId="0" fontId="6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Alignment="1">
      <alignment horizontal="left"/>
    </xf>
    <xf numFmtId="1" fontId="2" fillId="5" borderId="3" xfId="0" applyNumberFormat="1" applyFont="1" applyFill="1" applyBorder="1" applyAlignment="1">
      <alignment horizontal="right" indent="1"/>
    </xf>
    <xf numFmtId="0" fontId="2" fillId="0" borderId="3" xfId="0" applyFont="1" applyBorder="1"/>
    <xf numFmtId="2" fontId="2" fillId="0" borderId="3" xfId="0" applyNumberFormat="1" applyFont="1" applyBorder="1" applyAlignment="1">
      <alignment horizontal="right" indent="1"/>
    </xf>
    <xf numFmtId="0" fontId="2" fillId="0" borderId="4" xfId="0" applyFont="1" applyBorder="1"/>
    <xf numFmtId="0" fontId="2" fillId="0" borderId="0" xfId="0" applyFont="1" applyAlignment="1">
      <alignment horizontal="left"/>
    </xf>
    <xf numFmtId="166" fontId="2" fillId="0" borderId="3" xfId="0" applyNumberFormat="1" applyFont="1" applyBorder="1" applyAlignment="1">
      <alignment horizontal="right" inden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7" fontId="4" fillId="0" borderId="0" xfId="0" applyNumberFormat="1" applyFont="1" applyAlignment="1">
      <alignment horizontal="right" inden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2" fontId="4" fillId="0" borderId="0" xfId="0" applyNumberFormat="1" applyFont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9" xfId="0" applyFont="1" applyBorder="1"/>
    <xf numFmtId="0" fontId="4" fillId="3" borderId="3" xfId="0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right" indent="1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2" fontId="4" fillId="0" borderId="3" xfId="0" applyNumberFormat="1" applyFont="1" applyBorder="1"/>
    <xf numFmtId="0" fontId="0" fillId="0" borderId="3" xfId="0" applyBorder="1"/>
    <xf numFmtId="0" fontId="2" fillId="0" borderId="0" xfId="0" applyFont="1" applyAlignment="1">
      <alignment horizontal="center"/>
    </xf>
    <xf numFmtId="0" fontId="4" fillId="4" borderId="3" xfId="0" applyFont="1" applyFill="1" applyBorder="1"/>
    <xf numFmtId="3" fontId="4" fillId="2" borderId="3" xfId="0" applyNumberFormat="1" applyFont="1" applyFill="1" applyBorder="1" applyAlignment="1">
      <alignment horizontal="right" indent="1"/>
    </xf>
    <xf numFmtId="0" fontId="0" fillId="0" borderId="0" xfId="0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right" indent="1"/>
    </xf>
    <xf numFmtId="0" fontId="2" fillId="2" borderId="4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4" fillId="3" borderId="3" xfId="0" applyNumberFormat="1" applyFont="1" applyFill="1" applyBorder="1" applyAlignment="1">
      <alignment horizontal="right" indent="1"/>
    </xf>
    <xf numFmtId="2" fontId="6" fillId="7" borderId="0" xfId="0" applyNumberFormat="1" applyFont="1" applyFill="1" applyAlignment="1">
      <alignment horizontal="left"/>
    </xf>
    <xf numFmtId="0" fontId="4" fillId="0" borderId="11" xfId="0" applyFont="1" applyBorder="1" applyAlignment="1">
      <alignment horizontal="center" vertical="center" wrapText="1"/>
    </xf>
    <xf numFmtId="1" fontId="4" fillId="7" borderId="11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9" fontId="4" fillId="7" borderId="11" xfId="6" applyFont="1" applyFill="1" applyBorder="1" applyAlignment="1" applyProtection="1">
      <alignment horizontal="center" vertical="center" wrapText="1"/>
    </xf>
    <xf numFmtId="0" fontId="0" fillId="0" borderId="9" xfId="0" applyBorder="1"/>
    <xf numFmtId="0" fontId="4" fillId="0" borderId="9" xfId="0" applyFont="1" applyBorder="1" applyAlignment="1">
      <alignment horizontal="right" indent="1"/>
    </xf>
    <xf numFmtId="0" fontId="4" fillId="0" borderId="9" xfId="0" applyFont="1" applyBorder="1" applyAlignment="1">
      <alignment horizontal="left"/>
    </xf>
    <xf numFmtId="2" fontId="4" fillId="2" borderId="3" xfId="0" applyNumberFormat="1" applyFont="1" applyFill="1" applyBorder="1"/>
    <xf numFmtId="172" fontId="4" fillId="0" borderId="0" xfId="0" applyNumberFormat="1" applyFont="1"/>
    <xf numFmtId="3" fontId="4" fillId="0" borderId="3" xfId="0" applyNumberFormat="1" applyFont="1" applyBorder="1" applyAlignment="1">
      <alignment horizontal="right" indent="1"/>
    </xf>
    <xf numFmtId="2" fontId="4" fillId="4" borderId="3" xfId="0" applyNumberFormat="1" applyFont="1" applyFill="1" applyBorder="1"/>
    <xf numFmtId="0" fontId="2" fillId="0" borderId="1" xfId="0" applyFont="1" applyBorder="1"/>
    <xf numFmtId="0" fontId="4" fillId="0" borderId="1" xfId="0" applyFont="1" applyBorder="1"/>
    <xf numFmtId="2" fontId="4" fillId="0" borderId="3" xfId="0" applyNumberFormat="1" applyFont="1" applyBorder="1" applyAlignment="1">
      <alignment horizontal="right" indent="1"/>
    </xf>
    <xf numFmtId="3" fontId="4" fillId="4" borderId="3" xfId="0" applyNumberFormat="1" applyFont="1" applyFill="1" applyBorder="1" applyAlignment="1">
      <alignment horizontal="right" indent="1"/>
    </xf>
    <xf numFmtId="172" fontId="4" fillId="4" borderId="3" xfId="0" applyNumberFormat="1" applyFont="1" applyFill="1" applyBorder="1" applyAlignment="1">
      <alignment horizontal="right" indent="1"/>
    </xf>
    <xf numFmtId="175" fontId="4" fillId="0" borderId="0" xfId="0" applyNumberFormat="1" applyFont="1"/>
    <xf numFmtId="9" fontId="4" fillId="0" borderId="0" xfId="0" applyNumberFormat="1" applyFont="1"/>
    <xf numFmtId="2" fontId="2" fillId="5" borderId="3" xfId="0" applyNumberFormat="1" applyFont="1" applyFill="1" applyBorder="1" applyAlignment="1">
      <alignment horizontal="right" indent="1"/>
    </xf>
    <xf numFmtId="10" fontId="4" fillId="0" borderId="3" xfId="1" applyNumberFormat="1" applyFont="1" applyBorder="1" applyProtection="1"/>
    <xf numFmtId="0" fontId="0" fillId="0" borderId="2" xfId="0" applyBorder="1"/>
    <xf numFmtId="0" fontId="4" fillId="0" borderId="1" xfId="0" applyFont="1" applyBorder="1" applyAlignment="1">
      <alignment vertical="center" wrapText="1"/>
    </xf>
    <xf numFmtId="0" fontId="9" fillId="0" borderId="0" xfId="0" applyFont="1"/>
    <xf numFmtId="4" fontId="4" fillId="0" borderId="3" xfId="0" applyNumberFormat="1" applyFont="1" applyBorder="1" applyAlignment="1">
      <alignment horizontal="right" indent="1"/>
    </xf>
    <xf numFmtId="0" fontId="8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2" fontId="11" fillId="0" borderId="0" xfId="0" applyNumberFormat="1" applyFont="1"/>
    <xf numFmtId="0" fontId="11" fillId="0" borderId="0" xfId="0" applyFont="1" applyAlignment="1">
      <alignment horizontal="left" wrapText="1"/>
    </xf>
    <xf numFmtId="4" fontId="6" fillId="0" borderId="0" xfId="0" applyNumberFormat="1" applyFont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0" fontId="0" fillId="0" borderId="15" xfId="0" applyBorder="1"/>
    <xf numFmtId="170" fontId="8" fillId="0" borderId="15" xfId="1" applyNumberFormat="1" applyBorder="1"/>
    <xf numFmtId="3" fontId="0" fillId="0" borderId="15" xfId="0" applyNumberFormat="1" applyBorder="1"/>
    <xf numFmtId="2" fontId="0" fillId="0" borderId="15" xfId="0" applyNumberFormat="1" applyBorder="1"/>
    <xf numFmtId="0" fontId="8" fillId="0" borderId="14" xfId="0" applyFont="1" applyBorder="1" applyAlignment="1">
      <alignment horizontal="center"/>
    </xf>
    <xf numFmtId="0" fontId="0" fillId="0" borderId="14" xfId="0" applyBorder="1"/>
    <xf numFmtId="170" fontId="8" fillId="0" borderId="14" xfId="1" applyNumberFormat="1" applyBorder="1"/>
    <xf numFmtId="3" fontId="8" fillId="0" borderId="14" xfId="0" applyNumberFormat="1" applyFont="1" applyBorder="1"/>
    <xf numFmtId="2" fontId="0" fillId="0" borderId="14" xfId="0" applyNumberFormat="1" applyBorder="1"/>
    <xf numFmtId="166" fontId="0" fillId="0" borderId="14" xfId="0" applyNumberFormat="1" applyBorder="1"/>
    <xf numFmtId="0" fontId="8" fillId="0" borderId="13" xfId="0" applyFont="1" applyBorder="1" applyAlignment="1">
      <alignment horizontal="center"/>
    </xf>
    <xf numFmtId="0" fontId="0" fillId="0" borderId="13" xfId="0" applyBorder="1"/>
    <xf numFmtId="170" fontId="8" fillId="0" borderId="13" xfId="1" applyNumberFormat="1" applyBorder="1"/>
    <xf numFmtId="3" fontId="0" fillId="0" borderId="13" xfId="0" applyNumberFormat="1" applyBorder="1"/>
    <xf numFmtId="2" fontId="0" fillId="0" borderId="13" xfId="0" applyNumberFormat="1" applyBorder="1"/>
    <xf numFmtId="0" fontId="11" fillId="0" borderId="0" xfId="0" applyFont="1" applyAlignment="1">
      <alignment horizontal="center" vertical="center"/>
    </xf>
    <xf numFmtId="3" fontId="8" fillId="0" borderId="11" xfId="0" applyNumberFormat="1" applyFont="1" applyBorder="1"/>
    <xf numFmtId="2" fontId="0" fillId="0" borderId="11" xfId="0" applyNumberFormat="1" applyBorder="1"/>
    <xf numFmtId="2" fontId="8" fillId="0" borderId="11" xfId="0" applyNumberFormat="1" applyFont="1" applyBorder="1"/>
    <xf numFmtId="3" fontId="11" fillId="0" borderId="11" xfId="0" applyNumberFormat="1" applyFont="1" applyBorder="1"/>
    <xf numFmtId="4" fontId="11" fillId="0" borderId="11" xfId="0" applyNumberFormat="1" applyFont="1" applyBorder="1"/>
    <xf numFmtId="4" fontId="8" fillId="0" borderId="11" xfId="0" applyNumberFormat="1" applyFont="1" applyBorder="1"/>
    <xf numFmtId="1" fontId="4" fillId="7" borderId="0" xfId="0" applyNumberFormat="1" applyFont="1" applyFill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left" vertical="center" wrapText="1"/>
    </xf>
    <xf numFmtId="1" fontId="2" fillId="0" borderId="3" xfId="0" applyNumberFormat="1" applyFont="1" applyBorder="1" applyAlignment="1">
      <alignment horizontal="right" indent="1"/>
    </xf>
    <xf numFmtId="0" fontId="4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2" fillId="2" borderId="3" xfId="0" applyFont="1" applyFill="1" applyBorder="1" applyAlignment="1">
      <alignment horizontal="center"/>
    </xf>
    <xf numFmtId="2" fontId="4" fillId="0" borderId="3" xfId="0" applyNumberFormat="1" applyFont="1" applyBorder="1" applyAlignment="1">
      <alignment horizontal="right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wrapText="1"/>
    </xf>
    <xf numFmtId="0" fontId="11" fillId="0" borderId="14" xfId="0" applyFont="1" applyBorder="1" applyAlignment="1">
      <alignment horizontal="center"/>
    </xf>
    <xf numFmtId="2" fontId="8" fillId="0" borderId="14" xfId="0" applyNumberFormat="1" applyFont="1" applyBorder="1"/>
    <xf numFmtId="1" fontId="0" fillId="0" borderId="13" xfId="0" applyNumberFormat="1" applyBorder="1"/>
    <xf numFmtId="1" fontId="0" fillId="0" borderId="15" xfId="0" applyNumberFormat="1" applyBorder="1"/>
    <xf numFmtId="1" fontId="0" fillId="0" borderId="14" xfId="0" applyNumberFormat="1" applyBorder="1"/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174" fontId="4" fillId="8" borderId="6" xfId="0" applyNumberFormat="1" applyFont="1" applyFill="1" applyBorder="1" applyAlignment="1">
      <alignment horizontal="right" indent="1"/>
    </xf>
    <xf numFmtId="4" fontId="4" fillId="8" borderId="6" xfId="0" applyNumberFormat="1" applyFont="1" applyFill="1" applyBorder="1" applyAlignment="1">
      <alignment horizontal="right" indent="1"/>
    </xf>
    <xf numFmtId="0" fontId="4" fillId="8" borderId="4" xfId="0" applyFont="1" applyFill="1" applyBorder="1"/>
    <xf numFmtId="0" fontId="11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2" fontId="11" fillId="0" borderId="11" xfId="0" applyNumberFormat="1" applyFont="1" applyBorder="1"/>
    <xf numFmtId="0" fontId="5" fillId="0" borderId="0" xfId="0" applyFont="1" applyAlignment="1">
      <alignment horizontal="center" vertical="distributed"/>
    </xf>
    <xf numFmtId="174" fontId="4" fillId="8" borderId="3" xfId="0" applyNumberFormat="1" applyFont="1" applyFill="1" applyBorder="1" applyAlignment="1">
      <alignment horizontal="right" indent="1"/>
    </xf>
    <xf numFmtId="4" fontId="4" fillId="8" borderId="3" xfId="0" applyNumberFormat="1" applyFont="1" applyFill="1" applyBorder="1" applyAlignment="1">
      <alignment horizontal="right" indent="1"/>
    </xf>
    <xf numFmtId="0" fontId="11" fillId="0" borderId="0" xfId="0" applyFont="1" applyAlignment="1">
      <alignment horizontal="center" vertical="center" wrapText="1"/>
    </xf>
    <xf numFmtId="2" fontId="4" fillId="11" borderId="3" xfId="0" applyNumberFormat="1" applyFont="1" applyFill="1" applyBorder="1"/>
    <xf numFmtId="172" fontId="4" fillId="11" borderId="3" xfId="0" applyNumberFormat="1" applyFont="1" applyFill="1" applyBorder="1" applyAlignment="1">
      <alignment horizontal="right" indent="1"/>
    </xf>
    <xf numFmtId="4" fontId="4" fillId="11" borderId="3" xfId="0" applyNumberFormat="1" applyFont="1" applyFill="1" applyBorder="1" applyAlignment="1">
      <alignment horizontal="right" indent="1"/>
    </xf>
    <xf numFmtId="0" fontId="4" fillId="12" borderId="3" xfId="0" applyFont="1" applyFill="1" applyBorder="1" applyAlignment="1">
      <alignment horizontal="center"/>
    </xf>
    <xf numFmtId="170" fontId="4" fillId="13" borderId="3" xfId="1" applyNumberFormat="1" applyFont="1" applyFill="1" applyBorder="1" applyAlignment="1" applyProtection="1">
      <alignment horizontal="right" indent="1"/>
    </xf>
    <xf numFmtId="3" fontId="4" fillId="8" borderId="6" xfId="0" applyNumberFormat="1" applyFont="1" applyFill="1" applyBorder="1" applyAlignment="1">
      <alignment horizontal="right" indent="1"/>
    </xf>
    <xf numFmtId="165" fontId="2" fillId="5" borderId="3" xfId="0" applyNumberFormat="1" applyFont="1" applyFill="1" applyBorder="1" applyAlignment="1">
      <alignment horizontal="right" indent="1"/>
    </xf>
    <xf numFmtId="9" fontId="8" fillId="0" borderId="11" xfId="1" applyBorder="1"/>
    <xf numFmtId="9" fontId="8" fillId="0" borderId="2" xfId="1" applyBorder="1"/>
    <xf numFmtId="9" fontId="11" fillId="0" borderId="2" xfId="1" applyFont="1" applyBorder="1"/>
    <xf numFmtId="0" fontId="12" fillId="14" borderId="11" xfId="0" applyFont="1" applyFill="1" applyBorder="1" applyAlignment="1">
      <alignment horizontal="left" vertical="center" wrapText="1"/>
    </xf>
    <xf numFmtId="0" fontId="9" fillId="14" borderId="0" xfId="0" applyFont="1" applyFill="1"/>
    <xf numFmtId="9" fontId="9" fillId="14" borderId="14" xfId="1" applyFont="1" applyFill="1" applyBorder="1" applyAlignment="1" applyProtection="1">
      <alignment horizontal="center" vertical="center" wrapText="1"/>
    </xf>
    <xf numFmtId="3" fontId="9" fillId="8" borderId="1" xfId="1" applyNumberFormat="1" applyFont="1" applyFill="1" applyBorder="1" applyAlignment="1">
      <alignment horizontal="center" vertical="center"/>
    </xf>
    <xf numFmtId="3" fontId="9" fillId="8" borderId="11" xfId="1" applyNumberFormat="1" applyFont="1" applyFill="1" applyBorder="1" applyAlignment="1">
      <alignment horizontal="center" vertical="center"/>
    </xf>
    <xf numFmtId="0" fontId="9" fillId="14" borderId="11" xfId="0" applyFont="1" applyFill="1" applyBorder="1" applyAlignment="1">
      <alignment horizontal="center" vertical="center" wrapText="1"/>
    </xf>
    <xf numFmtId="0" fontId="12" fillId="14" borderId="14" xfId="0" applyFont="1" applyFill="1" applyBorder="1" applyAlignment="1">
      <alignment horizontal="left" vertical="center" wrapText="1"/>
    </xf>
    <xf numFmtId="177" fontId="9" fillId="0" borderId="3" xfId="0" applyNumberFormat="1" applyFont="1" applyBorder="1"/>
    <xf numFmtId="0" fontId="9" fillId="0" borderId="4" xfId="0" applyFont="1" applyBorder="1"/>
    <xf numFmtId="0" fontId="4" fillId="11" borderId="3" xfId="0" applyFont="1" applyFill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4" fillId="16" borderId="3" xfId="0" applyFont="1" applyFill="1" applyBorder="1" applyAlignment="1">
      <alignment horizontal="center"/>
    </xf>
    <xf numFmtId="0" fontId="4" fillId="16" borderId="4" xfId="0" applyFont="1" applyFill="1" applyBorder="1" applyAlignment="1">
      <alignment horizontal="left"/>
    </xf>
    <xf numFmtId="0" fontId="4" fillId="16" borderId="4" xfId="0" applyFont="1" applyFill="1" applyBorder="1"/>
    <xf numFmtId="0" fontId="4" fillId="9" borderId="4" xfId="0" applyFont="1" applyFill="1" applyBorder="1" applyAlignment="1">
      <alignment vertical="center"/>
    </xf>
    <xf numFmtId="3" fontId="11" fillId="0" borderId="11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11" fillId="0" borderId="0" xfId="0" applyFont="1" applyAlignment="1">
      <alignment horizontal="center"/>
    </xf>
    <xf numFmtId="1" fontId="0" fillId="0" borderId="0" xfId="0" applyNumberFormat="1"/>
    <xf numFmtId="4" fontId="8" fillId="0" borderId="0" xfId="0" applyNumberFormat="1" applyFont="1"/>
    <xf numFmtId="2" fontId="8" fillId="0" borderId="0" xfId="0" applyNumberFormat="1" applyFont="1"/>
    <xf numFmtId="173" fontId="11" fillId="0" borderId="0" xfId="0" applyNumberFormat="1" applyFont="1" applyAlignment="1">
      <alignment horizontal="right"/>
    </xf>
    <xf numFmtId="4" fontId="11" fillId="0" borderId="0" xfId="0" applyNumberFormat="1" applyFont="1"/>
    <xf numFmtId="0" fontId="4" fillId="0" borderId="1" xfId="0" applyFont="1" applyBorder="1" applyAlignment="1">
      <alignment vertical="center"/>
    </xf>
    <xf numFmtId="9" fontId="9" fillId="8" borderId="11" xfId="1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left" wrapText="1"/>
    </xf>
    <xf numFmtId="174" fontId="4" fillId="11" borderId="3" xfId="0" applyNumberFormat="1" applyFont="1" applyFill="1" applyBorder="1" applyAlignment="1">
      <alignment horizontal="right" indent="1"/>
    </xf>
    <xf numFmtId="0" fontId="3" fillId="5" borderId="3" xfId="0" applyFont="1" applyFill="1" applyBorder="1"/>
    <xf numFmtId="10" fontId="16" fillId="8" borderId="3" xfId="1" applyNumberFormat="1" applyFont="1" applyFill="1" applyBorder="1" applyAlignment="1">
      <alignment horizontal="center"/>
    </xf>
    <xf numFmtId="2" fontId="4" fillId="11" borderId="3" xfId="0" applyNumberFormat="1" applyFont="1" applyFill="1" applyBorder="1" applyAlignment="1">
      <alignment horizontal="right" vertical="center" indent="1"/>
    </xf>
    <xf numFmtId="3" fontId="2" fillId="5" borderId="3" xfId="0" applyNumberFormat="1" applyFont="1" applyFill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0" fontId="3" fillId="20" borderId="3" xfId="0" applyFont="1" applyFill="1" applyBorder="1" applyAlignment="1">
      <alignment horizontal="center"/>
    </xf>
    <xf numFmtId="0" fontId="16" fillId="19" borderId="11" xfId="0" applyFont="1" applyFill="1" applyBorder="1" applyAlignment="1">
      <alignment horizontal="center" vertical="center" wrapText="1"/>
    </xf>
    <xf numFmtId="0" fontId="20" fillId="21" borderId="11" xfId="0" applyFont="1" applyFill="1" applyBorder="1" applyAlignment="1">
      <alignment horizontal="center" vertical="center" wrapText="1"/>
    </xf>
    <xf numFmtId="2" fontId="20" fillId="21" borderId="11" xfId="0" applyNumberFormat="1" applyFont="1" applyFill="1" applyBorder="1" applyAlignment="1">
      <alignment horizontal="center" vertical="center" wrapText="1"/>
    </xf>
    <xf numFmtId="168" fontId="20" fillId="21" borderId="11" xfId="0" applyNumberFormat="1" applyFont="1" applyFill="1" applyBorder="1" applyAlignment="1">
      <alignment horizontal="center" vertical="center" wrapText="1"/>
    </xf>
    <xf numFmtId="11" fontId="0" fillId="0" borderId="11" xfId="0" applyNumberFormat="1" applyBorder="1" applyAlignment="1">
      <alignment horizontal="center"/>
    </xf>
    <xf numFmtId="0" fontId="7" fillId="0" borderId="8" xfId="2" applyBorder="1"/>
    <xf numFmtId="0" fontId="0" fillId="0" borderId="9" xfId="0" applyBorder="1" applyAlignment="1">
      <alignment horizontal="center"/>
    </xf>
    <xf numFmtId="0" fontId="0" fillId="0" borderId="10" xfId="0" applyBorder="1"/>
    <xf numFmtId="2" fontId="4" fillId="11" borderId="6" xfId="0" applyNumberFormat="1" applyFont="1" applyFill="1" applyBorder="1"/>
    <xf numFmtId="0" fontId="3" fillId="20" borderId="9" xfId="0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17" fillId="9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0" xfId="0" applyFont="1"/>
    <xf numFmtId="0" fontId="2" fillId="22" borderId="3" xfId="0" applyFont="1" applyFill="1" applyBorder="1"/>
    <xf numFmtId="0" fontId="4" fillId="23" borderId="1" xfId="0" applyFont="1" applyFill="1" applyBorder="1"/>
    <xf numFmtId="0" fontId="4" fillId="23" borderId="4" xfId="0" applyFont="1" applyFill="1" applyBorder="1"/>
    <xf numFmtId="9" fontId="4" fillId="0" borderId="3" xfId="1" applyFont="1" applyBorder="1" applyAlignment="1" applyProtection="1">
      <alignment vertical="center" wrapText="1"/>
    </xf>
    <xf numFmtId="0" fontId="0" fillId="0" borderId="11" xfId="0" applyBorder="1"/>
    <xf numFmtId="0" fontId="3" fillId="0" borderId="3" xfId="0" applyFont="1" applyBorder="1" applyAlignment="1">
      <alignment horizontal="right"/>
    </xf>
    <xf numFmtId="0" fontId="17" fillId="9" borderId="3" xfId="0" applyFont="1" applyFill="1" applyBorder="1" applyAlignment="1">
      <alignment horizontal="center" vertical="center" wrapText="1"/>
    </xf>
    <xf numFmtId="0" fontId="4" fillId="23" borderId="3" xfId="0" applyFont="1" applyFill="1" applyBorder="1" applyAlignment="1">
      <alignment horizontal="center"/>
    </xf>
    <xf numFmtId="2" fontId="4" fillId="23" borderId="3" xfId="0" applyNumberFormat="1" applyFont="1" applyFill="1" applyBorder="1" applyAlignment="1">
      <alignment horizontal="right" indent="1"/>
    </xf>
    <xf numFmtId="0" fontId="4" fillId="5" borderId="3" xfId="0" applyFont="1" applyFill="1" applyBorder="1" applyAlignment="1">
      <alignment horizontal="right" indent="1"/>
    </xf>
    <xf numFmtId="2" fontId="4" fillId="9" borderId="3" xfId="0" applyNumberFormat="1" applyFont="1" applyFill="1" applyBorder="1" applyAlignment="1">
      <alignment horizontal="right" indent="1"/>
    </xf>
    <xf numFmtId="2" fontId="4" fillId="16" borderId="3" xfId="0" applyNumberFormat="1" applyFont="1" applyFill="1" applyBorder="1" applyAlignment="1">
      <alignment horizontal="right" indent="1"/>
    </xf>
    <xf numFmtId="2" fontId="4" fillId="9" borderId="3" xfId="0" applyNumberFormat="1" applyFont="1" applyFill="1" applyBorder="1" applyAlignment="1">
      <alignment horizontal="right" vertical="center" indent="1"/>
    </xf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9" fontId="4" fillId="0" borderId="3" xfId="0" applyNumberFormat="1" applyFont="1" applyBorder="1" applyAlignment="1">
      <alignment horizontal="right" vertical="center" indent="1"/>
    </xf>
    <xf numFmtId="9" fontId="4" fillId="16" borderId="3" xfId="0" applyNumberFormat="1" applyFont="1" applyFill="1" applyBorder="1" applyAlignment="1">
      <alignment horizontal="right" vertical="center" indent="1"/>
    </xf>
    <xf numFmtId="179" fontId="4" fillId="0" borderId="11" xfId="0" applyNumberFormat="1" applyFont="1" applyBorder="1" applyAlignment="1">
      <alignment horizontal="center" vertical="center" wrapText="1"/>
    </xf>
    <xf numFmtId="9" fontId="4" fillId="7" borderId="11" xfId="1" applyFont="1" applyFill="1" applyBorder="1" applyAlignment="1" applyProtection="1">
      <alignment horizontal="center" vertical="center" wrapText="1"/>
    </xf>
    <xf numFmtId="0" fontId="4" fillId="24" borderId="3" xfId="0" applyFont="1" applyFill="1" applyBorder="1" applyAlignment="1">
      <alignment horizontal="center"/>
    </xf>
    <xf numFmtId="3" fontId="4" fillId="24" borderId="3" xfId="0" applyNumberFormat="1" applyFont="1" applyFill="1" applyBorder="1" applyAlignment="1">
      <alignment horizontal="right" indent="1"/>
    </xf>
    <xf numFmtId="0" fontId="4" fillId="24" borderId="4" xfId="0" applyFont="1" applyFill="1" applyBorder="1"/>
    <xf numFmtId="0" fontId="4" fillId="16" borderId="4" xfId="0" applyFont="1" applyFill="1" applyBorder="1" applyAlignment="1">
      <alignment horizontal="left" vertical="center"/>
    </xf>
    <xf numFmtId="0" fontId="4" fillId="16" borderId="3" xfId="0" applyFont="1" applyFill="1" applyBorder="1" applyAlignment="1">
      <alignment horizontal="center" vertical="center"/>
    </xf>
    <xf numFmtId="2" fontId="4" fillId="16" borderId="3" xfId="0" applyNumberFormat="1" applyFont="1" applyFill="1" applyBorder="1" applyAlignment="1">
      <alignment horizontal="right" vertical="center" indent="1"/>
    </xf>
    <xf numFmtId="4" fontId="4" fillId="11" borderId="6" xfId="0" applyNumberFormat="1" applyFont="1" applyFill="1" applyBorder="1" applyAlignment="1">
      <alignment horizontal="right" indent="1"/>
    </xf>
    <xf numFmtId="0" fontId="4" fillId="25" borderId="3" xfId="0" applyFont="1" applyFill="1" applyBorder="1" applyAlignment="1">
      <alignment horizontal="center"/>
    </xf>
    <xf numFmtId="0" fontId="4" fillId="26" borderId="13" xfId="0" applyFont="1" applyFill="1" applyBorder="1" applyAlignment="1">
      <alignment horizontal="center"/>
    </xf>
    <xf numFmtId="0" fontId="4" fillId="26" borderId="7" xfId="0" applyFont="1" applyFill="1" applyBorder="1" applyAlignment="1">
      <alignment horizontal="center"/>
    </xf>
    <xf numFmtId="2" fontId="4" fillId="26" borderId="11" xfId="0" applyNumberFormat="1" applyFont="1" applyFill="1" applyBorder="1" applyAlignment="1">
      <alignment horizontal="center"/>
    </xf>
    <xf numFmtId="2" fontId="4" fillId="26" borderId="4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27" borderId="4" xfId="0" applyFont="1" applyFill="1" applyBorder="1" applyAlignment="1">
      <alignment horizontal="left" vertical="center"/>
    </xf>
    <xf numFmtId="0" fontId="4" fillId="27" borderId="1" xfId="0" applyFont="1" applyFill="1" applyBorder="1" applyAlignment="1">
      <alignment vertical="center"/>
    </xf>
    <xf numFmtId="0" fontId="4" fillId="27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2" fontId="4" fillId="25" borderId="3" xfId="0" applyNumberFormat="1" applyFont="1" applyFill="1" applyBorder="1" applyAlignment="1">
      <alignment horizontal="right" indent="1"/>
    </xf>
    <xf numFmtId="0" fontId="4" fillId="25" borderId="4" xfId="0" applyFont="1" applyFill="1" applyBorder="1"/>
    <xf numFmtId="0" fontId="4" fillId="28" borderId="6" xfId="0" applyFont="1" applyFill="1" applyBorder="1" applyAlignment="1">
      <alignment horizontal="center"/>
    </xf>
    <xf numFmtId="0" fontId="4" fillId="28" borderId="7" xfId="0" applyFont="1" applyFill="1" applyBorder="1"/>
    <xf numFmtId="0" fontId="4" fillId="28" borderId="9" xfId="0" applyFont="1" applyFill="1" applyBorder="1" applyAlignment="1">
      <alignment horizontal="center"/>
    </xf>
    <xf numFmtId="0" fontId="4" fillId="28" borderId="10" xfId="0" applyFont="1" applyFill="1" applyBorder="1" applyAlignment="1">
      <alignment horizontal="left"/>
    </xf>
    <xf numFmtId="10" fontId="9" fillId="0" borderId="3" xfId="1" applyNumberFormat="1" applyFont="1" applyBorder="1" applyAlignment="1">
      <alignment horizontal="center"/>
    </xf>
    <xf numFmtId="0" fontId="4" fillId="16" borderId="1" xfId="0" applyFont="1" applyFill="1" applyBorder="1" applyAlignment="1">
      <alignment vertical="center"/>
    </xf>
    <xf numFmtId="2" fontId="4" fillId="2" borderId="3" xfId="0" applyNumberFormat="1" applyFont="1" applyFill="1" applyBorder="1" applyAlignment="1">
      <alignment horizontal="right" indent="1"/>
    </xf>
    <xf numFmtId="0" fontId="4" fillId="29" borderId="3" xfId="0" applyFont="1" applyFill="1" applyBorder="1"/>
    <xf numFmtId="4" fontId="4" fillId="29" borderId="3" xfId="0" applyNumberFormat="1" applyFont="1" applyFill="1" applyBorder="1" applyAlignment="1">
      <alignment horizontal="right" indent="1"/>
    </xf>
    <xf numFmtId="3" fontId="4" fillId="29" borderId="3" xfId="0" applyNumberFormat="1" applyFont="1" applyFill="1" applyBorder="1" applyAlignment="1">
      <alignment horizontal="right" indent="1"/>
    </xf>
    <xf numFmtId="2" fontId="4" fillId="17" borderId="3" xfId="0" applyNumberFormat="1" applyFont="1" applyFill="1" applyBorder="1" applyAlignment="1">
      <alignment horizontal="center"/>
    </xf>
    <xf numFmtId="3" fontId="4" fillId="17" borderId="3" xfId="0" applyNumberFormat="1" applyFont="1" applyFill="1" applyBorder="1" applyAlignment="1">
      <alignment horizontal="right" indent="1"/>
    </xf>
    <xf numFmtId="0" fontId="4" fillId="10" borderId="3" xfId="0" applyFont="1" applyFill="1" applyBorder="1"/>
    <xf numFmtId="3" fontId="4" fillId="10" borderId="3" xfId="0" applyNumberFormat="1" applyFont="1" applyFill="1" applyBorder="1" applyAlignment="1">
      <alignment horizontal="right" indent="1"/>
    </xf>
    <xf numFmtId="0" fontId="4" fillId="30" borderId="3" xfId="0" applyFont="1" applyFill="1" applyBorder="1"/>
    <xf numFmtId="3" fontId="2" fillId="30" borderId="3" xfId="0" applyNumberFormat="1" applyFont="1" applyFill="1" applyBorder="1" applyAlignment="1">
      <alignment horizontal="right" indent="1"/>
    </xf>
    <xf numFmtId="0" fontId="4" fillId="31" borderId="3" xfId="0" applyFont="1" applyFill="1" applyBorder="1"/>
    <xf numFmtId="3" fontId="2" fillId="31" borderId="3" xfId="0" applyNumberFormat="1" applyFont="1" applyFill="1" applyBorder="1" applyAlignment="1">
      <alignment horizontal="right" indent="1"/>
    </xf>
    <xf numFmtId="0" fontId="2" fillId="24" borderId="3" xfId="0" applyFont="1" applyFill="1" applyBorder="1"/>
    <xf numFmtId="170" fontId="4" fillId="25" borderId="3" xfId="1" applyNumberFormat="1" applyFont="1" applyFill="1" applyBorder="1" applyAlignment="1" applyProtection="1">
      <alignment horizontal="right" indent="1"/>
    </xf>
    <xf numFmtId="0" fontId="2" fillId="22" borderId="3" xfId="0" applyFont="1" applyFill="1" applyBorder="1" applyAlignment="1">
      <alignment horizontal="center"/>
    </xf>
    <xf numFmtId="9" fontId="2" fillId="22" borderId="3" xfId="0" applyNumberFormat="1" applyFont="1" applyFill="1" applyBorder="1" applyAlignment="1">
      <alignment horizontal="right" indent="1"/>
    </xf>
    <xf numFmtId="0" fontId="2" fillId="22" borderId="3" xfId="0" applyFont="1" applyFill="1" applyBorder="1" applyAlignment="1">
      <alignment horizontal="right" indent="1"/>
    </xf>
    <xf numFmtId="2" fontId="2" fillId="22" borderId="3" xfId="0" applyNumberFormat="1" applyFont="1" applyFill="1" applyBorder="1" applyAlignment="1">
      <alignment horizontal="right" indent="1"/>
    </xf>
    <xf numFmtId="2" fontId="4" fillId="0" borderId="3" xfId="0" applyNumberFormat="1" applyFont="1" applyBorder="1" applyAlignment="1">
      <alignment horizontal="center"/>
    </xf>
    <xf numFmtId="2" fontId="4" fillId="32" borderId="3" xfId="0" applyNumberFormat="1" applyFont="1" applyFill="1" applyBorder="1"/>
    <xf numFmtId="170" fontId="4" fillId="32" borderId="3" xfId="1" applyNumberFormat="1" applyFont="1" applyFill="1" applyBorder="1" applyAlignment="1" applyProtection="1">
      <alignment horizontal="right" indent="1"/>
    </xf>
    <xf numFmtId="3" fontId="4" fillId="32" borderId="3" xfId="0" applyNumberFormat="1" applyFont="1" applyFill="1" applyBorder="1" applyAlignment="1">
      <alignment horizontal="right" indent="1"/>
    </xf>
    <xf numFmtId="2" fontId="4" fillId="32" borderId="3" xfId="0" applyNumberFormat="1" applyFont="1" applyFill="1" applyBorder="1" applyAlignment="1">
      <alignment horizontal="right"/>
    </xf>
    <xf numFmtId="0" fontId="2" fillId="25" borderId="1" xfId="0" applyFont="1" applyFill="1" applyBorder="1"/>
    <xf numFmtId="9" fontId="4" fillId="25" borderId="3" xfId="1" applyFont="1" applyFill="1" applyBorder="1" applyAlignment="1" applyProtection="1">
      <alignment horizontal="right" indent="1"/>
    </xf>
    <xf numFmtId="174" fontId="4" fillId="32" borderId="6" xfId="0" applyNumberFormat="1" applyFont="1" applyFill="1" applyBorder="1" applyAlignment="1">
      <alignment horizontal="right" indent="1"/>
    </xf>
    <xf numFmtId="4" fontId="4" fillId="32" borderId="6" xfId="0" applyNumberFormat="1" applyFont="1" applyFill="1" applyBorder="1" applyAlignment="1">
      <alignment horizontal="right" indent="1"/>
    </xf>
    <xf numFmtId="10" fontId="16" fillId="32" borderId="3" xfId="1" applyNumberFormat="1" applyFont="1" applyFill="1" applyBorder="1" applyAlignment="1">
      <alignment horizontal="center"/>
    </xf>
    <xf numFmtId="3" fontId="4" fillId="17" borderId="3" xfId="0" applyNumberFormat="1" applyFont="1" applyFill="1" applyBorder="1" applyAlignment="1">
      <alignment horizontal="right" vertical="center" indent="1"/>
    </xf>
    <xf numFmtId="170" fontId="4" fillId="0" borderId="3" xfId="1" applyNumberFormat="1" applyFont="1" applyBorder="1" applyAlignment="1" applyProtection="1">
      <alignment horizontal="right" indent="1"/>
    </xf>
    <xf numFmtId="4" fontId="4" fillId="4" borderId="3" xfId="0" applyNumberFormat="1" applyFont="1" applyFill="1" applyBorder="1" applyAlignment="1">
      <alignment horizontal="right" indent="1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vertical="center" wrapText="1"/>
    </xf>
    <xf numFmtId="2" fontId="4" fillId="23" borderId="9" xfId="0" applyNumberFormat="1" applyFont="1" applyFill="1" applyBorder="1" applyAlignment="1">
      <alignment horizontal="right" indent="1"/>
    </xf>
    <xf numFmtId="2" fontId="4" fillId="23" borderId="6" xfId="0" applyNumberFormat="1" applyFont="1" applyFill="1" applyBorder="1" applyAlignment="1">
      <alignment horizontal="right" indent="1"/>
    </xf>
    <xf numFmtId="0" fontId="9" fillId="0" borderId="3" xfId="0" applyFont="1" applyBorder="1" applyAlignment="1">
      <alignment horizontal="center"/>
    </xf>
    <xf numFmtId="2" fontId="9" fillId="0" borderId="3" xfId="0" applyNumberFormat="1" applyFont="1" applyBorder="1" applyAlignment="1">
      <alignment horizontal="right" inden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2" fontId="9" fillId="0" borderId="6" xfId="0" applyNumberFormat="1" applyFont="1" applyBorder="1" applyAlignment="1">
      <alignment horizontal="right" indent="1"/>
    </xf>
    <xf numFmtId="0" fontId="9" fillId="0" borderId="7" xfId="0" applyFont="1" applyBorder="1" applyAlignment="1">
      <alignment horizontal="left"/>
    </xf>
    <xf numFmtId="0" fontId="9" fillId="5" borderId="1" xfId="0" applyFont="1" applyFill="1" applyBorder="1"/>
    <xf numFmtId="1" fontId="9" fillId="6" borderId="3" xfId="0" applyNumberFormat="1" applyFont="1" applyFill="1" applyBorder="1" applyAlignment="1">
      <alignment horizontal="center"/>
    </xf>
    <xf numFmtId="2" fontId="9" fillId="6" borderId="3" xfId="0" applyNumberFormat="1" applyFont="1" applyFill="1" applyBorder="1" applyAlignment="1">
      <alignment horizontal="right" indent="1"/>
    </xf>
    <xf numFmtId="0" fontId="9" fillId="6" borderId="4" xfId="0" applyFont="1" applyFill="1" applyBorder="1"/>
    <xf numFmtId="0" fontId="9" fillId="25" borderId="3" xfId="0" applyFont="1" applyFill="1" applyBorder="1" applyAlignment="1">
      <alignment horizontal="center"/>
    </xf>
    <xf numFmtId="2" fontId="9" fillId="25" borderId="3" xfId="0" applyNumberFormat="1" applyFont="1" applyFill="1" applyBorder="1" applyAlignment="1">
      <alignment horizontal="right" indent="1"/>
    </xf>
    <xf numFmtId="0" fontId="9" fillId="25" borderId="4" xfId="0" applyFont="1" applyFill="1" applyBorder="1"/>
    <xf numFmtId="2" fontId="9" fillId="25" borderId="6" xfId="0" applyNumberFormat="1" applyFont="1" applyFill="1" applyBorder="1" applyAlignment="1">
      <alignment horizontal="right" indent="1"/>
    </xf>
    <xf numFmtId="0" fontId="9" fillId="0" borderId="9" xfId="0" applyFont="1" applyBorder="1" applyAlignment="1">
      <alignment horizontal="center"/>
    </xf>
    <xf numFmtId="2" fontId="9" fillId="25" borderId="9" xfId="0" applyNumberFormat="1" applyFont="1" applyFill="1" applyBorder="1" applyAlignment="1">
      <alignment horizontal="right" indent="1"/>
    </xf>
    <xf numFmtId="0" fontId="9" fillId="0" borderId="10" xfId="0" applyFont="1" applyBorder="1" applyAlignment="1">
      <alignment horizontal="left"/>
    </xf>
    <xf numFmtId="0" fontId="8" fillId="0" borderId="0" xfId="0" applyFont="1" applyAlignment="1">
      <alignment horizontal="right" vertical="center" wrapText="1"/>
    </xf>
    <xf numFmtId="0" fontId="2" fillId="0" borderId="3" xfId="0" applyFont="1" applyBorder="1" applyAlignment="1">
      <alignment vertical="center"/>
    </xf>
    <xf numFmtId="2" fontId="2" fillId="0" borderId="3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 vertical="center" wrapText="1"/>
    </xf>
    <xf numFmtId="170" fontId="11" fillId="0" borderId="11" xfId="1" applyNumberFormat="1" applyFont="1" applyBorder="1"/>
    <xf numFmtId="3" fontId="4" fillId="11" borderId="3" xfId="0" applyNumberFormat="1" applyFont="1" applyFill="1" applyBorder="1" applyAlignment="1">
      <alignment horizontal="right" indent="1"/>
    </xf>
    <xf numFmtId="3" fontId="4" fillId="8" borderId="3" xfId="0" applyNumberFormat="1" applyFont="1" applyFill="1" applyBorder="1" applyAlignment="1">
      <alignment horizontal="right" indent="1"/>
    </xf>
    <xf numFmtId="0" fontId="7" fillId="0" borderId="0" xfId="2"/>
    <xf numFmtId="165" fontId="2" fillId="0" borderId="3" xfId="0" applyNumberFormat="1" applyFont="1" applyBorder="1" applyAlignment="1">
      <alignment horizontal="right" vertical="center" indent="1"/>
    </xf>
    <xf numFmtId="2" fontId="2" fillId="27" borderId="3" xfId="0" applyNumberFormat="1" applyFont="1" applyFill="1" applyBorder="1" applyAlignment="1">
      <alignment horizontal="right" vertical="center" indent="1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4" fontId="4" fillId="11" borderId="9" xfId="0" applyNumberFormat="1" applyFont="1" applyFill="1" applyBorder="1" applyAlignment="1">
      <alignment horizontal="right" indent="1"/>
    </xf>
    <xf numFmtId="0" fontId="17" fillId="8" borderId="1" xfId="0" applyFont="1" applyFill="1" applyBorder="1" applyAlignment="1">
      <alignment horizontal="left" vertical="center" wrapText="1"/>
    </xf>
    <xf numFmtId="0" fontId="17" fillId="8" borderId="3" xfId="0" applyFont="1" applyFill="1" applyBorder="1" applyAlignment="1">
      <alignment horizontal="center" vertical="center" wrapText="1"/>
    </xf>
    <xf numFmtId="2" fontId="4" fillId="8" borderId="3" xfId="0" applyNumberFormat="1" applyFont="1" applyFill="1" applyBorder="1" applyAlignment="1">
      <alignment horizontal="right" indent="1"/>
    </xf>
    <xf numFmtId="0" fontId="2" fillId="35" borderId="3" xfId="0" applyFont="1" applyFill="1" applyBorder="1" applyAlignment="1">
      <alignment horizontal="center" vertical="center"/>
    </xf>
    <xf numFmtId="166" fontId="2" fillId="35" borderId="3" xfId="0" applyNumberFormat="1" applyFont="1" applyFill="1" applyBorder="1" applyAlignment="1">
      <alignment horizontal="right" vertical="center" indent="1"/>
    </xf>
    <xf numFmtId="0" fontId="2" fillId="35" borderId="4" xfId="0" applyFont="1" applyFill="1" applyBorder="1" applyAlignment="1">
      <alignment vertical="center"/>
    </xf>
    <xf numFmtId="0" fontId="9" fillId="5" borderId="5" xfId="0" applyFont="1" applyFill="1" applyBorder="1"/>
    <xf numFmtId="1" fontId="9" fillId="6" borderId="6" xfId="0" applyNumberFormat="1" applyFont="1" applyFill="1" applyBorder="1" applyAlignment="1">
      <alignment horizontal="center"/>
    </xf>
    <xf numFmtId="2" fontId="9" fillId="6" borderId="6" xfId="0" applyNumberFormat="1" applyFont="1" applyFill="1" applyBorder="1" applyAlignment="1">
      <alignment horizontal="right" indent="1"/>
    </xf>
    <xf numFmtId="0" fontId="9" fillId="6" borderId="7" xfId="0" applyFont="1" applyFill="1" applyBorder="1"/>
    <xf numFmtId="0" fontId="4" fillId="8" borderId="1" xfId="0" applyFont="1" applyFill="1" applyBorder="1" applyAlignment="1">
      <alignment vertical="center"/>
    </xf>
    <xf numFmtId="0" fontId="4" fillId="0" borderId="6" xfId="0" applyFont="1" applyBorder="1"/>
    <xf numFmtId="2" fontId="3" fillId="0" borderId="6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right" indent="1"/>
    </xf>
    <xf numFmtId="0" fontId="12" fillId="0" borderId="11" xfId="0" applyFont="1" applyBorder="1" applyAlignment="1">
      <alignment horizontal="left" vertical="center" wrapText="1"/>
    </xf>
    <xf numFmtId="2" fontId="9" fillId="0" borderId="11" xfId="0" applyNumberFormat="1" applyFont="1" applyBorder="1" applyAlignment="1">
      <alignment horizontal="center"/>
    </xf>
    <xf numFmtId="4" fontId="9" fillId="0" borderId="11" xfId="0" applyNumberFormat="1" applyFont="1" applyBorder="1" applyAlignment="1">
      <alignment horizontal="center"/>
    </xf>
    <xf numFmtId="3" fontId="9" fillId="19" borderId="11" xfId="0" applyNumberFormat="1" applyFont="1" applyFill="1" applyBorder="1" applyAlignment="1">
      <alignment horizontal="center" vertical="center" wrapText="1"/>
    </xf>
    <xf numFmtId="0" fontId="12" fillId="19" borderId="11" xfId="0" applyFont="1" applyFill="1" applyBorder="1" applyAlignment="1">
      <alignment horizontal="left" vertical="center" wrapText="1"/>
    </xf>
    <xf numFmtId="0" fontId="9" fillId="19" borderId="11" xfId="0" applyFont="1" applyFill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/>
    </xf>
    <xf numFmtId="3" fontId="9" fillId="0" borderId="1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0" fontId="12" fillId="34" borderId="11" xfId="0" applyFont="1" applyFill="1" applyBorder="1" applyAlignment="1">
      <alignment horizontal="left" vertical="center" wrapText="1"/>
    </xf>
    <xf numFmtId="0" fontId="9" fillId="34" borderId="11" xfId="0" applyFont="1" applyFill="1" applyBorder="1" applyAlignment="1">
      <alignment horizontal="center" vertical="center" wrapText="1"/>
    </xf>
    <xf numFmtId="4" fontId="9" fillId="34" borderId="11" xfId="0" applyNumberFormat="1" applyFont="1" applyFill="1" applyBorder="1" applyAlignment="1">
      <alignment horizontal="center" vertical="center" wrapText="1"/>
    </xf>
    <xf numFmtId="4" fontId="13" fillId="34" borderId="11" xfId="0" applyNumberFormat="1" applyFont="1" applyFill="1" applyBorder="1" applyAlignment="1">
      <alignment horizontal="center" vertical="center" wrapText="1"/>
    </xf>
    <xf numFmtId="3" fontId="9" fillId="34" borderId="11" xfId="0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13" fillId="0" borderId="11" xfId="0" applyNumberFormat="1" applyFont="1" applyBorder="1" applyAlignment="1">
      <alignment horizontal="center" vertical="center" wrapText="1"/>
    </xf>
    <xf numFmtId="0" fontId="4" fillId="36" borderId="3" xfId="0" applyFont="1" applyFill="1" applyBorder="1"/>
    <xf numFmtId="4" fontId="4" fillId="36" borderId="3" xfId="0" applyNumberFormat="1" applyFont="1" applyFill="1" applyBorder="1" applyAlignment="1">
      <alignment horizontal="right" indent="1"/>
    </xf>
    <xf numFmtId="2" fontId="4" fillId="0" borderId="3" xfId="0" applyNumberFormat="1" applyFont="1" applyBorder="1" applyAlignment="1">
      <alignment horizontal="right" vertical="center" indent="1"/>
    </xf>
    <xf numFmtId="0" fontId="4" fillId="0" borderId="1" xfId="0" applyFont="1" applyBorder="1" applyAlignment="1">
      <alignment horizontal="left" vertical="center"/>
    </xf>
    <xf numFmtId="2" fontId="4" fillId="0" borderId="9" xfId="0" applyNumberFormat="1" applyFont="1" applyBorder="1" applyAlignment="1">
      <alignment horizontal="right" vertical="center" indent="1"/>
    </xf>
    <xf numFmtId="10" fontId="9" fillId="0" borderId="1" xfId="0" applyNumberFormat="1" applyFont="1" applyBorder="1"/>
    <xf numFmtId="178" fontId="9" fillId="0" borderId="3" xfId="0" applyNumberFormat="1" applyFont="1" applyBorder="1"/>
    <xf numFmtId="0" fontId="29" fillId="0" borderId="0" xfId="0" applyFont="1" applyAlignment="1">
      <alignment horizontal="center"/>
    </xf>
    <xf numFmtId="0" fontId="26" fillId="0" borderId="0" xfId="0" applyFont="1" applyAlignment="1">
      <alignment horizontal="center" vertical="center" wrapText="1"/>
    </xf>
    <xf numFmtId="1" fontId="2" fillId="7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2" fontId="4" fillId="7" borderId="0" xfId="0" applyNumberFormat="1" applyFont="1" applyFill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9" fontId="9" fillId="0" borderId="0" xfId="1" applyFont="1" applyBorder="1" applyAlignment="1">
      <alignment horizontal="center" vertical="center" wrapText="1"/>
    </xf>
    <xf numFmtId="9" fontId="4" fillId="7" borderId="0" xfId="6" applyFont="1" applyFill="1" applyBorder="1" applyAlignment="1" applyProtection="1">
      <alignment horizontal="center" vertical="center" wrapText="1"/>
    </xf>
    <xf numFmtId="0" fontId="29" fillId="0" borderId="0" xfId="0" applyFont="1" applyAlignment="1">
      <alignment horizontal="left"/>
    </xf>
    <xf numFmtId="0" fontId="30" fillId="0" borderId="11" xfId="0" applyFont="1" applyBorder="1" applyAlignment="1">
      <alignment horizontal="right"/>
    </xf>
    <xf numFmtId="2" fontId="30" fillId="0" borderId="1" xfId="0" applyNumberFormat="1" applyFont="1" applyBorder="1"/>
    <xf numFmtId="0" fontId="30" fillId="0" borderId="4" xfId="0" applyFont="1" applyBorder="1"/>
    <xf numFmtId="0" fontId="30" fillId="0" borderId="0" xfId="0" applyFont="1"/>
    <xf numFmtId="0" fontId="31" fillId="0" borderId="0" xfId="0" applyFont="1" applyAlignment="1">
      <alignment horizontal="left"/>
    </xf>
    <xf numFmtId="0" fontId="28" fillId="0" borderId="12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2" fontId="28" fillId="0" borderId="11" xfId="0" applyNumberFormat="1" applyFont="1" applyBorder="1" applyAlignment="1">
      <alignment horizontal="center"/>
    </xf>
    <xf numFmtId="1" fontId="28" fillId="0" borderId="1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right" vertical="center" indent="1"/>
    </xf>
    <xf numFmtId="0" fontId="4" fillId="0" borderId="7" xfId="0" applyFont="1" applyBorder="1" applyAlignment="1">
      <alignment horizontal="left" vertical="center"/>
    </xf>
    <xf numFmtId="0" fontId="2" fillId="27" borderId="1" xfId="0" applyFont="1" applyFill="1" applyBorder="1" applyAlignment="1">
      <alignment vertical="center"/>
    </xf>
    <xf numFmtId="0" fontId="9" fillId="27" borderId="3" xfId="0" applyFont="1" applyFill="1" applyBorder="1" applyAlignment="1">
      <alignment horizontal="center" vertical="center"/>
    </xf>
    <xf numFmtId="0" fontId="4" fillId="27" borderId="4" xfId="0" applyFont="1" applyFill="1" applyBorder="1" applyAlignment="1">
      <alignment vertical="center"/>
    </xf>
    <xf numFmtId="0" fontId="2" fillId="27" borderId="3" xfId="0" applyFont="1" applyFill="1" applyBorder="1" applyAlignment="1">
      <alignment horizontal="center" vertical="center"/>
    </xf>
    <xf numFmtId="0" fontId="2" fillId="27" borderId="4" xfId="0" applyFont="1" applyFill="1" applyBorder="1" applyAlignment="1">
      <alignment vertical="center"/>
    </xf>
    <xf numFmtId="0" fontId="2" fillId="19" borderId="1" xfId="0" applyFont="1" applyFill="1" applyBorder="1" applyAlignment="1">
      <alignment vertical="center"/>
    </xf>
    <xf numFmtId="10" fontId="9" fillId="19" borderId="3" xfId="1" applyNumberFormat="1" applyFont="1" applyFill="1" applyBorder="1" applyAlignment="1">
      <alignment horizontal="center"/>
    </xf>
    <xf numFmtId="165" fontId="4" fillId="19" borderId="3" xfId="0" applyNumberFormat="1" applyFont="1" applyFill="1" applyBorder="1" applyAlignment="1">
      <alignment horizontal="right" vertical="center" indent="1"/>
    </xf>
    <xf numFmtId="0" fontId="4" fillId="19" borderId="4" xfId="0" applyFont="1" applyFill="1" applyBorder="1" applyAlignment="1">
      <alignment vertical="center"/>
    </xf>
    <xf numFmtId="1" fontId="3" fillId="7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9" fontId="3" fillId="7" borderId="2" xfId="6" applyFont="1" applyFill="1" applyBorder="1" applyAlignment="1" applyProtection="1">
      <alignment horizontal="center" vertical="center" wrapText="1"/>
    </xf>
    <xf numFmtId="9" fontId="3" fillId="0" borderId="0" xfId="1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4" fillId="38" borderId="3" xfId="0" applyNumberFormat="1" applyFont="1" applyFill="1" applyBorder="1"/>
    <xf numFmtId="174" fontId="4" fillId="38" borderId="3" xfId="0" applyNumberFormat="1" applyFont="1" applyFill="1" applyBorder="1" applyAlignment="1">
      <alignment horizontal="right" indent="1"/>
    </xf>
    <xf numFmtId="4" fontId="9" fillId="34" borderId="1" xfId="0" applyNumberFormat="1" applyFont="1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4" fontId="9" fillId="34" borderId="3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right" indent="1"/>
    </xf>
    <xf numFmtId="166" fontId="9" fillId="0" borderId="11" xfId="0" applyNumberFormat="1" applyFont="1" applyBorder="1" applyAlignment="1">
      <alignment horizontal="center"/>
    </xf>
    <xf numFmtId="1" fontId="4" fillId="24" borderId="3" xfId="0" applyNumberFormat="1" applyFont="1" applyFill="1" applyBorder="1" applyAlignment="1">
      <alignment horizontal="right" indent="1"/>
    </xf>
    <xf numFmtId="0" fontId="4" fillId="0" borderId="0" xfId="0" applyFont="1" applyAlignment="1">
      <alignment vertical="center"/>
    </xf>
    <xf numFmtId="3" fontId="0" fillId="0" borderId="14" xfId="0" applyNumberFormat="1" applyBorder="1" applyAlignment="1">
      <alignment horizontal="center" vertical="center"/>
    </xf>
    <xf numFmtId="4" fontId="9" fillId="34" borderId="4" xfId="0" applyNumberFormat="1" applyFont="1" applyFill="1" applyBorder="1" applyAlignment="1">
      <alignment horizontal="left" vertical="center" wrapText="1"/>
    </xf>
    <xf numFmtId="4" fontId="9" fillId="34" borderId="4" xfId="0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66" fontId="10" fillId="0" borderId="11" xfId="0" applyNumberFormat="1" applyFont="1" applyBorder="1" applyAlignment="1">
      <alignment horizontal="center" vertical="center" wrapText="1"/>
    </xf>
    <xf numFmtId="3" fontId="9" fillId="34" borderId="3" xfId="0" applyNumberFormat="1" applyFont="1" applyFill="1" applyBorder="1" applyAlignment="1">
      <alignment horizontal="center" vertical="center" wrapText="1"/>
    </xf>
    <xf numFmtId="0" fontId="0" fillId="34" borderId="1" xfId="0" applyFill="1" applyBorder="1"/>
    <xf numFmtId="0" fontId="0" fillId="34" borderId="4" xfId="0" applyFill="1" applyBorder="1" applyAlignment="1">
      <alignment horizontal="center" vertical="center" wrapText="1"/>
    </xf>
    <xf numFmtId="0" fontId="0" fillId="34" borderId="0" xfId="0" applyFill="1"/>
    <xf numFmtId="1" fontId="4" fillId="0" borderId="3" xfId="0" applyNumberFormat="1" applyFont="1" applyBorder="1" applyAlignment="1">
      <alignment horizontal="right" indent="1"/>
    </xf>
    <xf numFmtId="0" fontId="2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2" fontId="11" fillId="0" borderId="11" xfId="0" applyNumberFormat="1" applyFont="1" applyBorder="1" applyAlignment="1">
      <alignment horizontal="right"/>
    </xf>
    <xf numFmtId="4" fontId="11" fillId="0" borderId="11" xfId="0" applyNumberFormat="1" applyFont="1" applyBorder="1" applyAlignment="1">
      <alignment horizontal="right"/>
    </xf>
    <xf numFmtId="1" fontId="4" fillId="22" borderId="3" xfId="0" applyNumberFormat="1" applyFont="1" applyFill="1" applyBorder="1" applyAlignment="1">
      <alignment horizontal="right" indent="1"/>
    </xf>
    <xf numFmtId="2" fontId="4" fillId="33" borderId="0" xfId="0" applyNumberFormat="1" applyFont="1" applyFill="1" applyAlignment="1">
      <alignment horizontal="center"/>
    </xf>
    <xf numFmtId="174" fontId="4" fillId="0" borderId="3" xfId="0" applyNumberFormat="1" applyFont="1" applyBorder="1" applyAlignment="1">
      <alignment horizontal="right" indent="1"/>
    </xf>
    <xf numFmtId="10" fontId="16" fillId="0" borderId="3" xfId="1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right" vertical="center" indent="1"/>
    </xf>
    <xf numFmtId="174" fontId="3" fillId="8" borderId="3" xfId="0" applyNumberFormat="1" applyFont="1" applyFill="1" applyBorder="1" applyAlignment="1">
      <alignment horizontal="right" indent="1"/>
    </xf>
    <xf numFmtId="2" fontId="4" fillId="35" borderId="3" xfId="0" applyNumberFormat="1" applyFont="1" applyFill="1" applyBorder="1" applyAlignment="1">
      <alignment horizontal="center"/>
    </xf>
    <xf numFmtId="10" fontId="0" fillId="0" borderId="15" xfId="0" applyNumberFormat="1" applyBorder="1"/>
    <xf numFmtId="3" fontId="11" fillId="0" borderId="14" xfId="0" applyNumberFormat="1" applyFont="1" applyBorder="1"/>
    <xf numFmtId="170" fontId="11" fillId="0" borderId="14" xfId="0" applyNumberFormat="1" applyFont="1" applyBorder="1"/>
    <xf numFmtId="0" fontId="4" fillId="22" borderId="3" xfId="0" applyFont="1" applyFill="1" applyBorder="1"/>
    <xf numFmtId="1" fontId="2" fillId="22" borderId="3" xfId="0" applyNumberFormat="1" applyFont="1" applyFill="1" applyBorder="1" applyAlignment="1">
      <alignment horizontal="right" indent="1"/>
    </xf>
    <xf numFmtId="3" fontId="8" fillId="0" borderId="15" xfId="0" applyNumberFormat="1" applyFont="1" applyBorder="1"/>
    <xf numFmtId="0" fontId="4" fillId="41" borderId="3" xfId="0" applyFont="1" applyFill="1" applyBorder="1" applyAlignment="1">
      <alignment horizontal="center"/>
    </xf>
    <xf numFmtId="4" fontId="4" fillId="41" borderId="3" xfId="0" applyNumberFormat="1" applyFont="1" applyFill="1" applyBorder="1" applyAlignment="1">
      <alignment horizontal="right" indent="1"/>
    </xf>
    <xf numFmtId="2" fontId="4" fillId="42" borderId="3" xfId="0" applyNumberFormat="1" applyFont="1" applyFill="1" applyBorder="1"/>
    <xf numFmtId="3" fontId="4" fillId="41" borderId="3" xfId="0" applyNumberFormat="1" applyFont="1" applyFill="1" applyBorder="1" applyAlignment="1">
      <alignment horizontal="right" indent="1"/>
    </xf>
    <xf numFmtId="0" fontId="4" fillId="42" borderId="3" xfId="0" applyFont="1" applyFill="1" applyBorder="1"/>
    <xf numFmtId="4" fontId="4" fillId="42" borderId="3" xfId="0" applyNumberFormat="1" applyFont="1" applyFill="1" applyBorder="1" applyAlignment="1">
      <alignment horizontal="right" indent="1"/>
    </xf>
    <xf numFmtId="0" fontId="26" fillId="8" borderId="3" xfId="0" applyFont="1" applyFill="1" applyBorder="1" applyAlignment="1">
      <alignment horizontal="left"/>
    </xf>
    <xf numFmtId="0" fontId="4" fillId="27" borderId="3" xfId="0" applyFont="1" applyFill="1" applyBorder="1"/>
    <xf numFmtId="2" fontId="2" fillId="27" borderId="3" xfId="0" applyNumberFormat="1" applyFont="1" applyFill="1" applyBorder="1" applyAlignment="1">
      <alignment horizontal="right" indent="1"/>
    </xf>
    <xf numFmtId="1" fontId="2" fillId="27" borderId="3" xfId="0" applyNumberFormat="1" applyFont="1" applyFill="1" applyBorder="1" applyAlignment="1">
      <alignment horizontal="right" indent="1"/>
    </xf>
    <xf numFmtId="1" fontId="2" fillId="31" borderId="3" xfId="0" applyNumberFormat="1" applyFont="1" applyFill="1" applyBorder="1" applyAlignment="1">
      <alignment horizontal="right" indent="1"/>
    </xf>
    <xf numFmtId="4" fontId="4" fillId="27" borderId="3" xfId="0" applyNumberFormat="1" applyFont="1" applyFill="1" applyBorder="1" applyAlignment="1">
      <alignment horizontal="right" indent="1"/>
    </xf>
    <xf numFmtId="177" fontId="9" fillId="27" borderId="3" xfId="0" applyNumberFormat="1" applyFont="1" applyFill="1" applyBorder="1"/>
    <xf numFmtId="0" fontId="9" fillId="27" borderId="3" xfId="0" applyFont="1" applyFill="1" applyBorder="1" applyAlignment="1">
      <alignment horizontal="left"/>
    </xf>
    <xf numFmtId="2" fontId="2" fillId="40" borderId="9" xfId="0" applyNumberFormat="1" applyFont="1" applyFill="1" applyBorder="1" applyAlignment="1">
      <alignment horizontal="right" indent="1"/>
    </xf>
    <xf numFmtId="1" fontId="4" fillId="0" borderId="3" xfId="0" applyNumberFormat="1" applyFont="1" applyBorder="1" applyAlignment="1">
      <alignment horizontal="right" vertical="center" indent="1"/>
    </xf>
    <xf numFmtId="0" fontId="7" fillId="0" borderId="11" xfId="2" applyBorder="1"/>
    <xf numFmtId="2" fontId="0" fillId="0" borderId="0" xfId="0" applyNumberFormat="1" applyAlignment="1">
      <alignment vertical="center"/>
    </xf>
    <xf numFmtId="0" fontId="5" fillId="0" borderId="0" xfId="0" applyFont="1" applyAlignment="1">
      <alignment horizontal="center" vertical="center"/>
    </xf>
    <xf numFmtId="4" fontId="8" fillId="0" borderId="14" xfId="0" applyNumberFormat="1" applyFont="1" applyBorder="1"/>
    <xf numFmtId="9" fontId="8" fillId="0" borderId="14" xfId="1" applyBorder="1"/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right" vertical="center"/>
    </xf>
    <xf numFmtId="0" fontId="11" fillId="0" borderId="20" xfId="0" applyFont="1" applyBorder="1" applyAlignment="1">
      <alignment horizontal="center"/>
    </xf>
    <xf numFmtId="0" fontId="11" fillId="0" borderId="23" xfId="0" applyFont="1" applyBorder="1" applyAlignment="1">
      <alignment horizontal="center" vertical="center"/>
    </xf>
    <xf numFmtId="9" fontId="8" fillId="0" borderId="24" xfId="1" applyBorder="1"/>
    <xf numFmtId="0" fontId="11" fillId="0" borderId="25" xfId="0" applyFont="1" applyBorder="1" applyAlignment="1">
      <alignment horizontal="center" vertical="center"/>
    </xf>
    <xf numFmtId="0" fontId="0" fillId="0" borderId="26" xfId="0" applyBorder="1" applyAlignment="1">
      <alignment vertical="distributed"/>
    </xf>
    <xf numFmtId="3" fontId="8" fillId="0" borderId="26" xfId="0" applyNumberFormat="1" applyFont="1" applyBorder="1" applyAlignment="1">
      <alignment vertical="distributed"/>
    </xf>
    <xf numFmtId="2" fontId="0" fillId="0" borderId="26" xfId="0" applyNumberFormat="1" applyBorder="1"/>
    <xf numFmtId="2" fontId="0" fillId="0" borderId="26" xfId="0" applyNumberFormat="1" applyBorder="1" applyAlignment="1">
      <alignment vertical="distributed"/>
    </xf>
    <xf numFmtId="2" fontId="0" fillId="0" borderId="27" xfId="0" applyNumberFormat="1" applyBorder="1" applyAlignment="1">
      <alignment vertical="distributed"/>
    </xf>
    <xf numFmtId="9" fontId="8" fillId="0" borderId="28" xfId="1" applyBorder="1" applyAlignment="1">
      <alignment vertical="distributed"/>
    </xf>
    <xf numFmtId="9" fontId="4" fillId="22" borderId="3" xfId="0" applyNumberFormat="1" applyFont="1" applyFill="1" applyBorder="1" applyAlignment="1">
      <alignment horizontal="right" indent="1"/>
    </xf>
    <xf numFmtId="0" fontId="8" fillId="0" borderId="26" xfId="0" applyFont="1" applyBorder="1" applyAlignment="1">
      <alignment horizontal="left" vertical="center" wrapText="1"/>
    </xf>
    <xf numFmtId="9" fontId="8" fillId="0" borderId="0" xfId="1" applyBorder="1" applyAlignment="1">
      <alignment vertical="center"/>
    </xf>
    <xf numFmtId="9" fontId="8" fillId="0" borderId="0" xfId="1" applyBorder="1"/>
    <xf numFmtId="0" fontId="11" fillId="0" borderId="17" xfId="0" applyFont="1" applyBorder="1" applyAlignment="1">
      <alignment horizontal="center" vertical="center"/>
    </xf>
    <xf numFmtId="3" fontId="0" fillId="0" borderId="22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0" fontId="8" fillId="0" borderId="26" xfId="1" applyNumberFormat="1" applyBorder="1" applyAlignment="1">
      <alignment vertical="center"/>
    </xf>
    <xf numFmtId="2" fontId="0" fillId="0" borderId="26" xfId="0" applyNumberFormat="1" applyBorder="1" applyAlignment="1">
      <alignment vertical="center"/>
    </xf>
    <xf numFmtId="1" fontId="0" fillId="0" borderId="26" xfId="0" applyNumberFormat="1" applyBorder="1" applyAlignment="1">
      <alignment vertical="center"/>
    </xf>
    <xf numFmtId="3" fontId="0" fillId="0" borderId="30" xfId="0" applyNumberFormat="1" applyBorder="1" applyAlignment="1">
      <alignment horizontal="center" vertical="center"/>
    </xf>
    <xf numFmtId="0" fontId="11" fillId="0" borderId="17" xfId="0" applyFont="1" applyBorder="1" applyAlignment="1">
      <alignment horizontal="center" wrapText="1"/>
    </xf>
    <xf numFmtId="0" fontId="0" fillId="0" borderId="21" xfId="0" applyBorder="1"/>
    <xf numFmtId="0" fontId="11" fillId="0" borderId="26" xfId="0" applyFont="1" applyBorder="1" applyAlignment="1">
      <alignment horizontal="center"/>
    </xf>
    <xf numFmtId="170" fontId="11" fillId="0" borderId="26" xfId="0" applyNumberFormat="1" applyFont="1" applyBorder="1"/>
    <xf numFmtId="3" fontId="11" fillId="0" borderId="26" xfId="0" applyNumberFormat="1" applyFont="1" applyBorder="1"/>
    <xf numFmtId="2" fontId="15" fillId="0" borderId="0" xfId="0" applyNumberFormat="1" applyFont="1"/>
    <xf numFmtId="0" fontId="8" fillId="0" borderId="15" xfId="0" applyFont="1" applyBorder="1"/>
    <xf numFmtId="2" fontId="8" fillId="0" borderId="15" xfId="0" applyNumberFormat="1" applyFont="1" applyBorder="1"/>
    <xf numFmtId="0" fontId="8" fillId="0" borderId="14" xfId="0" applyFont="1" applyBorder="1"/>
    <xf numFmtId="0" fontId="8" fillId="0" borderId="13" xfId="0" applyFont="1" applyBorder="1"/>
    <xf numFmtId="3" fontId="8" fillId="0" borderId="13" xfId="0" applyNumberFormat="1" applyFont="1" applyBorder="1"/>
    <xf numFmtId="2" fontId="8" fillId="0" borderId="13" xfId="0" applyNumberFormat="1" applyFont="1" applyBorder="1"/>
    <xf numFmtId="166" fontId="2" fillId="40" borderId="3" xfId="0" applyNumberFormat="1" applyFont="1" applyFill="1" applyBorder="1" applyAlignment="1">
      <alignment horizontal="right" indent="1"/>
    </xf>
    <xf numFmtId="2" fontId="4" fillId="41" borderId="3" xfId="0" applyNumberFormat="1" applyFont="1" applyFill="1" applyBorder="1" applyAlignment="1">
      <alignment horizontal="right" indent="1"/>
    </xf>
    <xf numFmtId="0" fontId="4" fillId="38" borderId="1" xfId="0" applyFont="1" applyFill="1" applyBorder="1" applyAlignment="1">
      <alignment vertical="center"/>
    </xf>
    <xf numFmtId="0" fontId="4" fillId="39" borderId="1" xfId="0" applyFont="1" applyFill="1" applyBorder="1" applyAlignment="1">
      <alignment vertical="center"/>
    </xf>
    <xf numFmtId="0" fontId="4" fillId="11" borderId="1" xfId="0" applyFont="1" applyFill="1" applyBorder="1" applyAlignment="1">
      <alignment vertical="center"/>
    </xf>
    <xf numFmtId="0" fontId="4" fillId="11" borderId="5" xfId="0" applyFont="1" applyFill="1" applyBorder="1" applyAlignment="1">
      <alignment vertical="center"/>
    </xf>
    <xf numFmtId="0" fontId="4" fillId="11" borderId="8" xfId="0" applyFont="1" applyFill="1" applyBorder="1" applyAlignment="1">
      <alignment vertical="center"/>
    </xf>
    <xf numFmtId="0" fontId="2" fillId="22" borderId="1" xfId="0" applyFont="1" applyFill="1" applyBorder="1" applyAlignment="1">
      <alignment vertical="center"/>
    </xf>
    <xf numFmtId="0" fontId="4" fillId="22" borderId="1" xfId="0" applyFont="1" applyFill="1" applyBorder="1" applyAlignment="1">
      <alignment vertical="center"/>
    </xf>
    <xf numFmtId="0" fontId="2" fillId="31" borderId="1" xfId="0" applyFont="1" applyFill="1" applyBorder="1" applyAlignment="1">
      <alignment vertical="center"/>
    </xf>
    <xf numFmtId="0" fontId="4" fillId="17" borderId="1" xfId="0" applyFont="1" applyFill="1" applyBorder="1" applyAlignment="1">
      <alignment vertical="center"/>
    </xf>
    <xf numFmtId="0" fontId="4" fillId="13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9" fillId="27" borderId="8" xfId="0" applyFont="1" applyFill="1" applyBorder="1" applyAlignment="1">
      <alignment vertical="center"/>
    </xf>
    <xf numFmtId="0" fontId="9" fillId="27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41" borderId="1" xfId="0" applyFont="1" applyFill="1" applyBorder="1" applyAlignment="1">
      <alignment vertical="center"/>
    </xf>
    <xf numFmtId="0" fontId="4" fillId="42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9" fillId="8" borderId="3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0" fontId="16" fillId="0" borderId="11" xfId="0" applyFont="1" applyBorder="1" applyAlignment="1">
      <alignment horizontal="right"/>
    </xf>
    <xf numFmtId="0" fontId="12" fillId="0" borderId="3" xfId="0" applyFont="1" applyBorder="1" applyAlignment="1">
      <alignment horizontal="center" vertical="center" wrapText="1"/>
    </xf>
    <xf numFmtId="174" fontId="4" fillId="8" borderId="3" xfId="0" applyNumberFormat="1" applyFont="1" applyFill="1" applyBorder="1" applyAlignment="1">
      <alignment horizontal="right" vertical="center"/>
    </xf>
    <xf numFmtId="0" fontId="9" fillId="0" borderId="3" xfId="0" applyFont="1" applyBorder="1"/>
    <xf numFmtId="11" fontId="4" fillId="0" borderId="9" xfId="0" applyNumberFormat="1" applyFont="1" applyBorder="1" applyAlignment="1">
      <alignment horizontal="right" indent="1"/>
    </xf>
    <xf numFmtId="2" fontId="4" fillId="0" borderId="9" xfId="0" applyNumberFormat="1" applyFont="1" applyBorder="1" applyAlignment="1">
      <alignment horizontal="right" indent="1"/>
    </xf>
    <xf numFmtId="2" fontId="9" fillId="0" borderId="3" xfId="0" applyNumberFormat="1" applyFont="1" applyBorder="1"/>
    <xf numFmtId="0" fontId="5" fillId="0" borderId="1" xfId="0" applyFont="1" applyBorder="1" applyAlignment="1">
      <alignment vertical="center"/>
    </xf>
    <xf numFmtId="1" fontId="2" fillId="37" borderId="6" xfId="0" applyNumberFormat="1" applyFont="1" applyFill="1" applyBorder="1" applyAlignment="1">
      <alignment horizontal="center"/>
    </xf>
    <xf numFmtId="0" fontId="4" fillId="40" borderId="3" xfId="0" applyFont="1" applyFill="1" applyBorder="1" applyAlignment="1">
      <alignment horizontal="center"/>
    </xf>
    <xf numFmtId="0" fontId="2" fillId="27" borderId="3" xfId="0" applyFont="1" applyFill="1" applyBorder="1" applyAlignment="1">
      <alignment vertical="center"/>
    </xf>
    <xf numFmtId="0" fontId="4" fillId="27" borderId="0" xfId="0" applyFont="1" applyFill="1" applyAlignment="1">
      <alignment horizontal="center"/>
    </xf>
    <xf numFmtId="0" fontId="4" fillId="3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2" fillId="8" borderId="1" xfId="0" applyFont="1" applyFill="1" applyBorder="1" applyAlignment="1">
      <alignment vertical="center"/>
    </xf>
    <xf numFmtId="0" fontId="4" fillId="8" borderId="3" xfId="0" applyFont="1" applyFill="1" applyBorder="1"/>
    <xf numFmtId="2" fontId="2" fillId="8" borderId="3" xfId="0" applyNumberFormat="1" applyFont="1" applyFill="1" applyBorder="1" applyAlignment="1">
      <alignment horizontal="right" indent="1"/>
    </xf>
    <xf numFmtId="170" fontId="4" fillId="0" borderId="6" xfId="1" applyNumberFormat="1" applyFont="1" applyBorder="1" applyAlignment="1" applyProtection="1">
      <alignment horizontal="right" indent="1"/>
    </xf>
    <xf numFmtId="170" fontId="4" fillId="8" borderId="6" xfId="1" applyNumberFormat="1" applyFont="1" applyFill="1" applyBorder="1" applyAlignment="1" applyProtection="1">
      <alignment horizontal="right" indent="1"/>
    </xf>
    <xf numFmtId="173" fontId="4" fillId="8" borderId="3" xfId="0" applyNumberFormat="1" applyFont="1" applyFill="1" applyBorder="1" applyAlignment="1">
      <alignment horizontal="right" indent="1"/>
    </xf>
    <xf numFmtId="174" fontId="4" fillId="0" borderId="6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right"/>
    </xf>
    <xf numFmtId="0" fontId="4" fillId="12" borderId="1" xfId="0" applyFont="1" applyFill="1" applyBorder="1" applyAlignment="1">
      <alignment vertical="center"/>
    </xf>
    <xf numFmtId="0" fontId="12" fillId="0" borderId="34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9" fontId="9" fillId="0" borderId="27" xfId="1" applyFont="1" applyBorder="1" applyAlignment="1">
      <alignment horizontal="center" vertical="center"/>
    </xf>
    <xf numFmtId="9" fontId="9" fillId="0" borderId="28" xfId="1" applyFont="1" applyBorder="1" applyAlignment="1">
      <alignment horizontal="center" vertical="center"/>
    </xf>
    <xf numFmtId="4" fontId="8" fillId="0" borderId="8" xfId="0" applyNumberFormat="1" applyFont="1" applyBorder="1"/>
    <xf numFmtId="4" fontId="8" fillId="0" borderId="9" xfId="0" applyNumberFormat="1" applyFont="1" applyBorder="1"/>
    <xf numFmtId="3" fontId="8" fillId="0" borderId="10" xfId="0" applyNumberFormat="1" applyFont="1" applyBorder="1" applyAlignment="1">
      <alignment horizontal="right"/>
    </xf>
    <xf numFmtId="2" fontId="8" fillId="0" borderId="1" xfId="0" applyNumberFormat="1" applyFont="1" applyBorder="1"/>
    <xf numFmtId="2" fontId="8" fillId="0" borderId="3" xfId="0" applyNumberFormat="1" applyFont="1" applyBorder="1"/>
    <xf numFmtId="3" fontId="8" fillId="0" borderId="4" xfId="0" applyNumberFormat="1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1" xfId="0" applyFont="1" applyBorder="1"/>
    <xf numFmtId="0" fontId="8" fillId="0" borderId="3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4" fillId="0" borderId="8" xfId="0" applyFont="1" applyBorder="1" applyAlignment="1">
      <alignment vertical="center"/>
    </xf>
    <xf numFmtId="1" fontId="4" fillId="0" borderId="9" xfId="0" applyNumberFormat="1" applyFont="1" applyBorder="1" applyAlignment="1">
      <alignment horizontal="right" indent="1"/>
    </xf>
    <xf numFmtId="0" fontId="2" fillId="40" borderId="8" xfId="0" applyFont="1" applyFill="1" applyBorder="1"/>
    <xf numFmtId="1" fontId="2" fillId="40" borderId="3" xfId="0" applyNumberFormat="1" applyFont="1" applyFill="1" applyBorder="1" applyAlignment="1">
      <alignment horizontal="center"/>
    </xf>
    <xf numFmtId="1" fontId="2" fillId="40" borderId="3" xfId="0" applyNumberFormat="1" applyFont="1" applyFill="1" applyBorder="1" applyAlignment="1">
      <alignment horizontal="right" vertical="center" indent="1"/>
    </xf>
    <xf numFmtId="0" fontId="2" fillId="0" borderId="5" xfId="0" applyFont="1" applyBorder="1"/>
    <xf numFmtId="1" fontId="2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right" vertical="center" indent="1"/>
    </xf>
    <xf numFmtId="174" fontId="4" fillId="34" borderId="6" xfId="0" applyNumberFormat="1" applyFont="1" applyFill="1" applyBorder="1" applyAlignment="1">
      <alignment horizontal="right" indent="1"/>
    </xf>
    <xf numFmtId="4" fontId="4" fillId="34" borderId="6" xfId="0" applyNumberFormat="1" applyFont="1" applyFill="1" applyBorder="1" applyAlignment="1">
      <alignment horizontal="right" indent="1"/>
    </xf>
    <xf numFmtId="4" fontId="4" fillId="8" borderId="3" xfId="0" applyNumberFormat="1" applyFont="1" applyFill="1" applyBorder="1" applyAlignment="1">
      <alignment horizontal="right" vertical="center" indent="1"/>
    </xf>
    <xf numFmtId="0" fontId="4" fillId="2" borderId="3" xfId="0" applyFont="1" applyFill="1" applyBorder="1"/>
    <xf numFmtId="2" fontId="4" fillId="17" borderId="3" xfId="0" applyNumberFormat="1" applyFont="1" applyFill="1" applyBorder="1"/>
    <xf numFmtId="0" fontId="2" fillId="31" borderId="3" xfId="0" applyFont="1" applyFill="1" applyBorder="1"/>
    <xf numFmtId="0" fontId="4" fillId="38" borderId="3" xfId="0" applyFont="1" applyFill="1" applyBorder="1"/>
    <xf numFmtId="0" fontId="4" fillId="39" borderId="3" xfId="0" applyFont="1" applyFill="1" applyBorder="1"/>
    <xf numFmtId="0" fontId="4" fillId="11" borderId="3" xfId="0" applyFont="1" applyFill="1" applyBorder="1"/>
    <xf numFmtId="0" fontId="4" fillId="11" borderId="6" xfId="0" applyFont="1" applyFill="1" applyBorder="1"/>
    <xf numFmtId="0" fontId="4" fillId="11" borderId="9" xfId="0" applyFont="1" applyFill="1" applyBorder="1"/>
    <xf numFmtId="1" fontId="4" fillId="11" borderId="3" xfId="0" applyNumberFormat="1" applyFont="1" applyFill="1" applyBorder="1"/>
    <xf numFmtId="0" fontId="2" fillId="30" borderId="3" xfId="0" applyFont="1" applyFill="1" applyBorder="1"/>
    <xf numFmtId="0" fontId="2" fillId="8" borderId="3" xfId="0" applyFont="1" applyFill="1" applyBorder="1"/>
    <xf numFmtId="0" fontId="4" fillId="8" borderId="6" xfId="0" applyFont="1" applyFill="1" applyBorder="1"/>
    <xf numFmtId="0" fontId="2" fillId="25" borderId="3" xfId="0" applyFont="1" applyFill="1" applyBorder="1"/>
    <xf numFmtId="0" fontId="4" fillId="32" borderId="3" xfId="0" applyFont="1" applyFill="1" applyBorder="1"/>
    <xf numFmtId="0" fontId="4" fillId="35" borderId="3" xfId="0" applyFont="1" applyFill="1" applyBorder="1"/>
    <xf numFmtId="0" fontId="4" fillId="33" borderId="3" xfId="0" applyFont="1" applyFill="1" applyBorder="1"/>
    <xf numFmtId="0" fontId="4" fillId="12" borderId="3" xfId="0" applyFont="1" applyFill="1" applyBorder="1"/>
    <xf numFmtId="0" fontId="2" fillId="11" borderId="3" xfId="0" applyFont="1" applyFill="1" applyBorder="1"/>
    <xf numFmtId="0" fontId="2" fillId="17" borderId="3" xfId="0" applyFont="1" applyFill="1" applyBorder="1"/>
    <xf numFmtId="0" fontId="2" fillId="5" borderId="3" xfId="0" applyFont="1" applyFill="1" applyBorder="1"/>
    <xf numFmtId="0" fontId="2" fillId="27" borderId="3" xfId="0" applyFont="1" applyFill="1" applyBorder="1"/>
    <xf numFmtId="0" fontId="9" fillId="27" borderId="3" xfId="0" applyFont="1" applyFill="1" applyBorder="1"/>
    <xf numFmtId="0" fontId="34" fillId="0" borderId="0" xfId="0" applyFont="1"/>
    <xf numFmtId="0" fontId="34" fillId="0" borderId="0" xfId="0" applyFont="1" applyAlignment="1">
      <alignment horizontal="center"/>
    </xf>
    <xf numFmtId="0" fontId="34" fillId="0" borderId="4" xfId="0" applyFont="1" applyBorder="1" applyAlignment="1">
      <alignment horizontal="left"/>
    </xf>
    <xf numFmtId="0" fontId="34" fillId="0" borderId="12" xfId="0" applyFont="1" applyBorder="1" applyAlignment="1">
      <alignment horizontal="left"/>
    </xf>
    <xf numFmtId="0" fontId="34" fillId="0" borderId="10" xfId="0" applyFont="1" applyBorder="1"/>
    <xf numFmtId="0" fontId="4" fillId="0" borderId="5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34" fillId="0" borderId="12" xfId="0" applyFont="1" applyBorder="1"/>
    <xf numFmtId="0" fontId="5" fillId="0" borderId="0" xfId="0" applyFont="1" applyAlignment="1">
      <alignment horizontal="right" indent="1"/>
    </xf>
    <xf numFmtId="4" fontId="34" fillId="0" borderId="12" xfId="0" applyNumberFormat="1" applyFont="1" applyBorder="1" applyAlignment="1">
      <alignment horizontal="right" indent="1"/>
    </xf>
    <xf numFmtId="0" fontId="34" fillId="0" borderId="4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0" fontId="4" fillId="29" borderId="1" xfId="0" applyFont="1" applyFill="1" applyBorder="1" applyAlignment="1">
      <alignment vertical="center"/>
    </xf>
    <xf numFmtId="0" fontId="4" fillId="10" borderId="1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2" fillId="24" borderId="1" xfId="0" applyFont="1" applyFill="1" applyBorder="1" applyAlignment="1">
      <alignment vertical="center"/>
    </xf>
    <xf numFmtId="0" fontId="4" fillId="11" borderId="1" xfId="0" applyFont="1" applyFill="1" applyBorder="1" applyAlignment="1">
      <alignment horizontal="left" vertical="center"/>
    </xf>
    <xf numFmtId="0" fontId="2" fillId="30" borderId="1" xfId="0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2" fillId="25" borderId="1" xfId="0" applyFont="1" applyFill="1" applyBorder="1" applyAlignment="1">
      <alignment vertical="center"/>
    </xf>
    <xf numFmtId="0" fontId="4" fillId="35" borderId="1" xfId="0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36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4" fillId="34" borderId="1" xfId="0" applyFont="1" applyFill="1" applyBorder="1" applyAlignment="1">
      <alignment vertical="center"/>
    </xf>
    <xf numFmtId="0" fontId="2" fillId="40" borderId="1" xfId="0" applyFont="1" applyFill="1" applyBorder="1" applyAlignment="1">
      <alignment vertical="center"/>
    </xf>
    <xf numFmtId="0" fontId="2" fillId="37" borderId="5" xfId="0" applyFont="1" applyFill="1" applyBorder="1" applyAlignment="1">
      <alignment vertical="center"/>
    </xf>
    <xf numFmtId="0" fontId="9" fillId="8" borderId="1" xfId="0" applyFont="1" applyFill="1" applyBorder="1" applyAlignment="1">
      <alignment horizontal="left" vertical="center"/>
    </xf>
    <xf numFmtId="0" fontId="9" fillId="27" borderId="1" xfId="0" applyFont="1" applyFill="1" applyBorder="1" applyAlignment="1">
      <alignment vertical="center"/>
    </xf>
    <xf numFmtId="0" fontId="35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2" fontId="4" fillId="0" borderId="11" xfId="0" applyNumberFormat="1" applyFont="1" applyBorder="1" applyAlignment="1">
      <alignment horizontal="right" indent="1"/>
    </xf>
    <xf numFmtId="2" fontId="4" fillId="0" borderId="11" xfId="0" applyNumberFormat="1" applyFont="1" applyBorder="1" applyAlignment="1">
      <alignment horizontal="right" vertical="center" indent="1"/>
    </xf>
    <xf numFmtId="0" fontId="34" fillId="0" borderId="1" xfId="0" applyFont="1" applyBorder="1" applyAlignment="1">
      <alignment horizontal="left"/>
    </xf>
    <xf numFmtId="0" fontId="4" fillId="34" borderId="3" xfId="0" applyFont="1" applyFill="1" applyBorder="1"/>
    <xf numFmtId="0" fontId="4" fillId="13" borderId="3" xfId="0" applyFont="1" applyFill="1" applyBorder="1"/>
    <xf numFmtId="0" fontId="2" fillId="40" borderId="3" xfId="0" applyFont="1" applyFill="1" applyBorder="1"/>
    <xf numFmtId="0" fontId="2" fillId="40" borderId="9" xfId="0" applyFont="1" applyFill="1" applyBorder="1"/>
    <xf numFmtId="0" fontId="4" fillId="3" borderId="3" xfId="0" applyFont="1" applyFill="1" applyBorder="1"/>
    <xf numFmtId="0" fontId="2" fillId="0" borderId="6" xfId="0" applyFont="1" applyBorder="1"/>
    <xf numFmtId="0" fontId="4" fillId="41" borderId="3" xfId="0" applyFont="1" applyFill="1" applyBorder="1"/>
    <xf numFmtId="0" fontId="4" fillId="8" borderId="3" xfId="0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right" indent="1"/>
    </xf>
    <xf numFmtId="4" fontId="4" fillId="0" borderId="1" xfId="0" applyNumberFormat="1" applyFont="1" applyBorder="1" applyAlignment="1">
      <alignment horizontal="right" indent="1"/>
    </xf>
    <xf numFmtId="3" fontId="2" fillId="0" borderId="1" xfId="0" applyNumberFormat="1" applyFont="1" applyBorder="1" applyAlignment="1">
      <alignment horizontal="right" indent="1"/>
    </xf>
    <xf numFmtId="1" fontId="4" fillId="0" borderId="1" xfId="0" applyNumberFormat="1" applyFont="1" applyBorder="1" applyAlignment="1">
      <alignment horizontal="right" indent="1"/>
    </xf>
    <xf numFmtId="172" fontId="4" fillId="0" borderId="1" xfId="0" applyNumberFormat="1" applyFont="1" applyBorder="1" applyAlignment="1">
      <alignment horizontal="right" indent="1"/>
    </xf>
    <xf numFmtId="174" fontId="4" fillId="0" borderId="1" xfId="0" applyNumberFormat="1" applyFont="1" applyBorder="1" applyAlignment="1">
      <alignment horizontal="right"/>
    </xf>
    <xf numFmtId="174" fontId="4" fillId="0" borderId="1" xfId="0" applyNumberFormat="1" applyFont="1" applyBorder="1" applyAlignment="1">
      <alignment horizontal="right" indent="1"/>
    </xf>
    <xf numFmtId="4" fontId="4" fillId="0" borderId="5" xfId="0" applyNumberFormat="1" applyFont="1" applyBorder="1" applyAlignment="1">
      <alignment horizontal="right" indent="1"/>
    </xf>
    <xf numFmtId="4" fontId="4" fillId="0" borderId="8" xfId="0" applyNumberFormat="1" applyFont="1" applyBorder="1" applyAlignment="1">
      <alignment horizontal="right" indent="1"/>
    </xf>
    <xf numFmtId="2" fontId="2" fillId="0" borderId="1" xfId="0" applyNumberFormat="1" applyFont="1" applyBorder="1" applyAlignment="1">
      <alignment horizontal="right" indent="1"/>
    </xf>
    <xf numFmtId="0" fontId="4" fillId="0" borderId="2" xfId="0" applyFont="1" applyBorder="1" applyAlignment="1">
      <alignment horizontal="right" indent="1"/>
    </xf>
    <xf numFmtId="9" fontId="2" fillId="0" borderId="1" xfId="0" applyNumberFormat="1" applyFont="1" applyBorder="1" applyAlignment="1">
      <alignment horizontal="right" indent="1"/>
    </xf>
    <xf numFmtId="9" fontId="4" fillId="0" borderId="1" xfId="0" applyNumberFormat="1" applyFont="1" applyBorder="1" applyAlignment="1">
      <alignment horizontal="right" indent="1"/>
    </xf>
    <xf numFmtId="0" fontId="2" fillId="0" borderId="1" xfId="0" applyFont="1" applyBorder="1" applyAlignment="1">
      <alignment horizontal="right" indent="1"/>
    </xf>
    <xf numFmtId="10" fontId="4" fillId="0" borderId="1" xfId="1" applyNumberFormat="1" applyFont="1" applyBorder="1" applyAlignment="1" applyProtection="1">
      <alignment horizontal="right" indent="1"/>
    </xf>
    <xf numFmtId="1" fontId="2" fillId="0" borderId="1" xfId="0" applyNumberFormat="1" applyFont="1" applyBorder="1" applyAlignment="1">
      <alignment horizontal="right" indent="1"/>
    </xf>
    <xf numFmtId="170" fontId="4" fillId="0" borderId="1" xfId="1" applyNumberFormat="1" applyFont="1" applyBorder="1" applyAlignment="1" applyProtection="1">
      <alignment horizontal="right" indent="1"/>
    </xf>
    <xf numFmtId="9" fontId="4" fillId="0" borderId="1" xfId="1" applyFont="1" applyBorder="1" applyAlignment="1" applyProtection="1">
      <alignment horizontal="right" indent="1"/>
    </xf>
    <xf numFmtId="0" fontId="34" fillId="0" borderId="2" xfId="0" applyFont="1" applyBorder="1" applyAlignment="1">
      <alignment horizontal="left"/>
    </xf>
    <xf numFmtId="0" fontId="34" fillId="0" borderId="8" xfId="0" applyFont="1" applyBorder="1"/>
    <xf numFmtId="165" fontId="2" fillId="0" borderId="1" xfId="0" applyNumberFormat="1" applyFont="1" applyBorder="1" applyAlignment="1">
      <alignment horizontal="right" indent="1"/>
    </xf>
    <xf numFmtId="3" fontId="4" fillId="0" borderId="1" xfId="0" applyNumberFormat="1" applyFont="1" applyBorder="1" applyAlignment="1">
      <alignment horizontal="right" vertical="center" indent="1"/>
    </xf>
    <xf numFmtId="2" fontId="4" fillId="0" borderId="1" xfId="0" applyNumberFormat="1" applyFont="1" applyBorder="1" applyAlignment="1">
      <alignment horizontal="right" vertical="center" indent="1"/>
    </xf>
    <xf numFmtId="1" fontId="4" fillId="0" borderId="1" xfId="0" applyNumberFormat="1" applyFont="1" applyBorder="1" applyAlignment="1">
      <alignment horizontal="right" vertical="center" indent="1"/>
    </xf>
    <xf numFmtId="4" fontId="9" fillId="0" borderId="1" xfId="0" applyNumberFormat="1" applyFont="1" applyBorder="1" applyAlignment="1">
      <alignment horizontal="right" indent="1"/>
    </xf>
    <xf numFmtId="3" fontId="4" fillId="0" borderId="5" xfId="0" applyNumberFormat="1" applyFont="1" applyBorder="1" applyAlignment="1">
      <alignment horizontal="right" indent="1"/>
    </xf>
    <xf numFmtId="170" fontId="4" fillId="0" borderId="5" xfId="1" applyNumberFormat="1" applyFont="1" applyBorder="1" applyAlignment="1" applyProtection="1">
      <alignment horizontal="right" indent="1"/>
    </xf>
    <xf numFmtId="173" fontId="4" fillId="0" borderId="1" xfId="0" applyNumberFormat="1" applyFont="1" applyBorder="1" applyAlignment="1">
      <alignment horizontal="right" indent="1"/>
    </xf>
    <xf numFmtId="10" fontId="4" fillId="0" borderId="1" xfId="0" applyNumberFormat="1" applyFont="1" applyBorder="1" applyAlignment="1">
      <alignment horizontal="right" indent="1"/>
    </xf>
    <xf numFmtId="166" fontId="2" fillId="0" borderId="1" xfId="0" applyNumberFormat="1" applyFont="1" applyBorder="1" applyAlignment="1">
      <alignment horizontal="right" indent="1"/>
    </xf>
    <xf numFmtId="2" fontId="2" fillId="0" borderId="8" xfId="0" applyNumberFormat="1" applyFont="1" applyBorder="1" applyAlignment="1">
      <alignment horizontal="right" indent="1"/>
    </xf>
    <xf numFmtId="2" fontId="2" fillId="0" borderId="1" xfId="0" applyNumberFormat="1" applyFont="1" applyBorder="1" applyAlignment="1">
      <alignment horizontal="right" vertical="center" indent="1"/>
    </xf>
    <xf numFmtId="0" fontId="5" fillId="0" borderId="2" xfId="0" applyFont="1" applyBorder="1" applyAlignment="1">
      <alignment horizontal="center"/>
    </xf>
    <xf numFmtId="1" fontId="2" fillId="0" borderId="1" xfId="0" applyNumberFormat="1" applyFont="1" applyBorder="1" applyAlignment="1">
      <alignment horizontal="right" vertical="center" indent="1"/>
    </xf>
    <xf numFmtId="1" fontId="4" fillId="0" borderId="8" xfId="0" applyNumberFormat="1" applyFont="1" applyBorder="1" applyAlignment="1">
      <alignment horizontal="right" indent="1"/>
    </xf>
    <xf numFmtId="2" fontId="4" fillId="0" borderId="1" xfId="0" applyNumberFormat="1" applyFont="1" applyBorder="1" applyAlignment="1">
      <alignment horizontal="right" indent="1"/>
    </xf>
    <xf numFmtId="4" fontId="4" fillId="0" borderId="1" xfId="0" applyNumberFormat="1" applyFont="1" applyBorder="1" applyAlignment="1">
      <alignment horizontal="right" vertical="center" indent="1"/>
    </xf>
    <xf numFmtId="0" fontId="5" fillId="0" borderId="2" xfId="0" applyFont="1" applyBorder="1" applyAlignment="1">
      <alignment horizontal="right" indent="1"/>
    </xf>
    <xf numFmtId="1" fontId="34" fillId="0" borderId="12" xfId="0" applyNumberFormat="1" applyFont="1" applyBorder="1"/>
    <xf numFmtId="1" fontId="34" fillId="7" borderId="1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indent="1"/>
    </xf>
    <xf numFmtId="2" fontId="9" fillId="0" borderId="9" xfId="0" applyNumberFormat="1" applyFont="1" applyBorder="1" applyAlignment="1">
      <alignment horizontal="right" indent="1"/>
    </xf>
    <xf numFmtId="166" fontId="2" fillId="0" borderId="3" xfId="0" applyNumberFormat="1" applyFont="1" applyBorder="1" applyAlignment="1">
      <alignment horizontal="right" vertical="center" indent="1"/>
    </xf>
    <xf numFmtId="9" fontId="4" fillId="0" borderId="3" xfId="0" applyNumberFormat="1" applyFont="1" applyBorder="1" applyAlignment="1">
      <alignment horizontal="right" vertical="center" indent="1"/>
    </xf>
    <xf numFmtId="0" fontId="2" fillId="2" borderId="1" xfId="0" applyFont="1" applyFill="1" applyBorder="1"/>
    <xf numFmtId="0" fontId="5" fillId="0" borderId="2" xfId="0" applyFont="1" applyBorder="1" applyAlignment="1">
      <alignment horizontal="left"/>
    </xf>
    <xf numFmtId="0" fontId="4" fillId="24" borderId="1" xfId="0" applyFont="1" applyFill="1" applyBorder="1" applyAlignment="1">
      <alignment vertical="center" wrapText="1"/>
    </xf>
    <xf numFmtId="0" fontId="4" fillId="16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25" borderId="1" xfId="0" applyFont="1" applyFill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4" fillId="25" borderId="1" xfId="0" applyFont="1" applyFill="1" applyBorder="1" applyAlignment="1">
      <alignment vertical="center"/>
    </xf>
    <xf numFmtId="0" fontId="2" fillId="35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left" vertical="center" wrapText="1"/>
    </xf>
    <xf numFmtId="0" fontId="2" fillId="15" borderId="1" xfId="0" applyFont="1" applyFill="1" applyBorder="1"/>
    <xf numFmtId="0" fontId="4" fillId="28" borderId="5" xfId="0" applyFont="1" applyFill="1" applyBorder="1" applyAlignment="1">
      <alignment horizontal="left"/>
    </xf>
    <xf numFmtId="0" fontId="4" fillId="28" borderId="8" xfId="0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165" fontId="36" fillId="0" borderId="1" xfId="0" applyNumberFormat="1" applyFont="1" applyBorder="1" applyAlignment="1">
      <alignment horizontal="center"/>
    </xf>
    <xf numFmtId="2" fontId="16" fillId="0" borderId="11" xfId="0" applyNumberFormat="1" applyFont="1" applyBorder="1" applyAlignment="1">
      <alignment horizontal="right"/>
    </xf>
    <xf numFmtId="165" fontId="14" fillId="19" borderId="1" xfId="0" applyNumberFormat="1" applyFont="1" applyFill="1" applyBorder="1" applyAlignment="1">
      <alignment horizontal="center"/>
    </xf>
    <xf numFmtId="165" fontId="16" fillId="19" borderId="3" xfId="0" applyNumberFormat="1" applyFont="1" applyFill="1" applyBorder="1" applyAlignment="1">
      <alignment horizontal="center"/>
    </xf>
    <xf numFmtId="165" fontId="16" fillId="19" borderId="3" xfId="0" applyNumberFormat="1" applyFont="1" applyFill="1" applyBorder="1" applyAlignment="1">
      <alignment horizontal="left"/>
    </xf>
    <xf numFmtId="2" fontId="14" fillId="19" borderId="3" xfId="0" applyNumberFormat="1" applyFont="1" applyFill="1" applyBorder="1" applyAlignment="1">
      <alignment horizontal="right" indent="1"/>
    </xf>
    <xf numFmtId="165" fontId="14" fillId="19" borderId="3" xfId="0" applyNumberFormat="1" applyFont="1" applyFill="1" applyBorder="1"/>
    <xf numFmtId="2" fontId="16" fillId="0" borderId="11" xfId="0" applyNumberFormat="1" applyFont="1" applyBorder="1" applyAlignment="1">
      <alignment horizontal="right" indent="1"/>
    </xf>
    <xf numFmtId="2" fontId="36" fillId="0" borderId="1" xfId="0" applyNumberFormat="1" applyFont="1" applyBorder="1" applyAlignment="1">
      <alignment horizontal="left"/>
    </xf>
    <xf numFmtId="2" fontId="12" fillId="0" borderId="3" xfId="0" applyNumberFormat="1" applyFont="1" applyBorder="1" applyAlignment="1">
      <alignment horizontal="left"/>
    </xf>
    <xf numFmtId="0" fontId="37" fillId="0" borderId="0" xfId="0" applyFont="1" applyAlignment="1">
      <alignment horizontal="right"/>
    </xf>
    <xf numFmtId="2" fontId="16" fillId="0" borderId="3" xfId="0" applyNumberFormat="1" applyFont="1" applyBorder="1" applyAlignment="1">
      <alignment horizontal="right" indent="1"/>
    </xf>
    <xf numFmtId="0" fontId="16" fillId="0" borderId="3" xfId="0" applyFont="1" applyBorder="1"/>
    <xf numFmtId="0" fontId="0" fillId="0" borderId="1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2" fontId="0" fillId="0" borderId="11" xfId="0" applyNumberFormat="1" applyBorder="1" applyAlignment="1">
      <alignment horizontal="center" wrapText="1"/>
    </xf>
    <xf numFmtId="173" fontId="4" fillId="0" borderId="3" xfId="0" applyNumberFormat="1" applyFont="1" applyBorder="1"/>
    <xf numFmtId="3" fontId="4" fillId="0" borderId="11" xfId="0" applyNumberFormat="1" applyFont="1" applyBorder="1" applyAlignment="1">
      <alignment horizontal="right" indent="1"/>
    </xf>
    <xf numFmtId="2" fontId="16" fillId="0" borderId="1" xfId="0" applyNumberFormat="1" applyFont="1" applyBorder="1" applyAlignment="1">
      <alignment horizontal="right" indent="1"/>
    </xf>
    <xf numFmtId="2" fontId="4" fillId="0" borderId="8" xfId="0" applyNumberFormat="1" applyFont="1" applyBorder="1" applyAlignment="1">
      <alignment horizontal="right" vertical="center" indent="1"/>
    </xf>
    <xf numFmtId="2" fontId="9" fillId="0" borderId="1" xfId="0" applyNumberFormat="1" applyFont="1" applyBorder="1" applyAlignment="1">
      <alignment horizontal="right" indent="1"/>
    </xf>
    <xf numFmtId="165" fontId="14" fillId="19" borderId="3" xfId="0" applyNumberFormat="1" applyFont="1" applyFill="1" applyBorder="1" applyAlignment="1">
      <alignment horizontal="left"/>
    </xf>
    <xf numFmtId="2" fontId="9" fillId="0" borderId="11" xfId="0" applyNumberFormat="1" applyFont="1" applyBorder="1" applyAlignment="1">
      <alignment horizontal="right" indent="1"/>
    </xf>
    <xf numFmtId="2" fontId="4" fillId="0" borderId="14" xfId="0" applyNumberFormat="1" applyFont="1" applyBorder="1" applyAlignment="1">
      <alignment horizontal="right" vertical="center" indent="1"/>
    </xf>
    <xf numFmtId="4" fontId="4" fillId="0" borderId="11" xfId="0" applyNumberFormat="1" applyFont="1" applyBorder="1" applyAlignment="1">
      <alignment horizontal="right" indent="1"/>
    </xf>
    <xf numFmtId="0" fontId="12" fillId="0" borderId="9" xfId="0" applyFont="1" applyBorder="1" applyAlignment="1">
      <alignment horizontal="left"/>
    </xf>
    <xf numFmtId="0" fontId="0" fillId="0" borderId="9" xfId="0" applyBorder="1" applyAlignment="1">
      <alignment horizontal="left"/>
    </xf>
    <xf numFmtId="2" fontId="16" fillId="0" borderId="3" xfId="0" applyNumberFormat="1" applyFont="1" applyBorder="1" applyAlignment="1">
      <alignment horizontal="center"/>
    </xf>
    <xf numFmtId="11" fontId="4" fillId="0" borderId="8" xfId="0" applyNumberFormat="1" applyFont="1" applyBorder="1" applyAlignment="1">
      <alignment horizontal="right" indent="1"/>
    </xf>
    <xf numFmtId="1" fontId="4" fillId="0" borderId="8" xfId="0" applyNumberFormat="1" applyFont="1" applyBorder="1" applyAlignment="1">
      <alignment horizontal="right" vertical="center" indent="1"/>
    </xf>
    <xf numFmtId="2" fontId="4" fillId="0" borderId="8" xfId="0" applyNumberFormat="1" applyFont="1" applyBorder="1" applyAlignment="1">
      <alignment horizontal="right" indent="1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16" fillId="0" borderId="0" xfId="0" applyNumberFormat="1" applyFont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4" fillId="27" borderId="3" xfId="0" applyFont="1" applyFill="1" applyBorder="1" applyAlignment="1">
      <alignment horizontal="center"/>
    </xf>
    <xf numFmtId="0" fontId="0" fillId="27" borderId="3" xfId="0" applyFill="1" applyBorder="1"/>
    <xf numFmtId="2" fontId="4" fillId="27" borderId="3" xfId="0" applyNumberFormat="1" applyFont="1" applyFill="1" applyBorder="1" applyAlignment="1">
      <alignment horizontal="right" indent="1"/>
    </xf>
    <xf numFmtId="0" fontId="4" fillId="27" borderId="3" xfId="0" applyFont="1" applyFill="1" applyBorder="1" applyAlignment="1">
      <alignment horizontal="left"/>
    </xf>
    <xf numFmtId="1" fontId="4" fillId="27" borderId="3" xfId="0" applyNumberFormat="1" applyFont="1" applyFill="1" applyBorder="1" applyAlignment="1">
      <alignment horizontal="right" indent="1"/>
    </xf>
    <xf numFmtId="1" fontId="4" fillId="27" borderId="9" xfId="0" applyNumberFormat="1" applyFont="1" applyFill="1" applyBorder="1" applyAlignment="1">
      <alignment horizontal="right" vertical="center" indent="1"/>
    </xf>
    <xf numFmtId="165" fontId="14" fillId="19" borderId="3" xfId="0" applyNumberFormat="1" applyFont="1" applyFill="1" applyBorder="1" applyAlignment="1">
      <alignment horizontal="center"/>
    </xf>
    <xf numFmtId="2" fontId="36" fillId="0" borderId="3" xfId="0" applyNumberFormat="1" applyFont="1" applyBorder="1" applyAlignment="1">
      <alignment horizontal="left"/>
    </xf>
    <xf numFmtId="10" fontId="9" fillId="0" borderId="3" xfId="0" applyNumberFormat="1" applyFont="1" applyBorder="1"/>
    <xf numFmtId="0" fontId="4" fillId="0" borderId="3" xfId="0" applyFont="1" applyBorder="1" applyAlignment="1">
      <alignment vertical="center"/>
    </xf>
    <xf numFmtId="0" fontId="4" fillId="27" borderId="3" xfId="0" applyFont="1" applyFill="1" applyBorder="1" applyAlignment="1">
      <alignment horizontal="left" vertical="center"/>
    </xf>
    <xf numFmtId="0" fontId="4" fillId="27" borderId="1" xfId="0" applyFont="1" applyFill="1" applyBorder="1"/>
    <xf numFmtId="0" fontId="4" fillId="27" borderId="1" xfId="0" applyFont="1" applyFill="1" applyBorder="1" applyAlignment="1">
      <alignment horizontal="left" vertical="center"/>
    </xf>
    <xf numFmtId="2" fontId="4" fillId="27" borderId="9" xfId="0" applyNumberFormat="1" applyFont="1" applyFill="1" applyBorder="1" applyAlignment="1">
      <alignment horizontal="right" vertical="center" indent="1"/>
    </xf>
    <xf numFmtId="10" fontId="9" fillId="27" borderId="1" xfId="0" applyNumberFormat="1" applyFont="1" applyFill="1" applyBorder="1"/>
    <xf numFmtId="178" fontId="9" fillId="27" borderId="3" xfId="0" applyNumberFormat="1" applyFont="1" applyFill="1" applyBorder="1"/>
    <xf numFmtId="2" fontId="9" fillId="27" borderId="3" xfId="0" applyNumberFormat="1" applyFont="1" applyFill="1" applyBorder="1" applyAlignment="1">
      <alignment horizontal="right" indent="1"/>
    </xf>
    <xf numFmtId="2" fontId="9" fillId="27" borderId="3" xfId="0" applyNumberFormat="1" applyFont="1" applyFill="1" applyBorder="1"/>
    <xf numFmtId="0" fontId="4" fillId="27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18" borderId="11" xfId="0" applyFont="1" applyFill="1" applyBorder="1"/>
    <xf numFmtId="0" fontId="4" fillId="5" borderId="11" xfId="0" applyFont="1" applyFill="1" applyBorder="1"/>
    <xf numFmtId="0" fontId="2" fillId="22" borderId="11" xfId="0" applyFont="1" applyFill="1" applyBorder="1"/>
    <xf numFmtId="0" fontId="16" fillId="0" borderId="15" xfId="0" applyFont="1" applyBorder="1"/>
    <xf numFmtId="0" fontId="9" fillId="19" borderId="11" xfId="0" applyFont="1" applyFill="1" applyBorder="1"/>
    <xf numFmtId="0" fontId="4" fillId="20" borderId="11" xfId="0" applyFont="1" applyFill="1" applyBorder="1"/>
    <xf numFmtId="0" fontId="4" fillId="23" borderId="11" xfId="0" applyFont="1" applyFill="1" applyBorder="1"/>
    <xf numFmtId="0" fontId="2" fillId="0" borderId="11" xfId="0" applyFont="1" applyBorder="1"/>
    <xf numFmtId="1" fontId="2" fillId="0" borderId="11" xfId="0" applyNumberFormat="1" applyFont="1" applyBorder="1" applyAlignment="1">
      <alignment horizontal="right" vertical="center" indent="1"/>
    </xf>
    <xf numFmtId="0" fontId="34" fillId="0" borderId="5" xfId="0" applyFont="1" applyBorder="1" applyAlignment="1">
      <alignment horizontal="left"/>
    </xf>
    <xf numFmtId="0" fontId="34" fillId="0" borderId="7" xfId="0" applyFont="1" applyBorder="1" applyAlignment="1">
      <alignment horizontal="center"/>
    </xf>
    <xf numFmtId="0" fontId="34" fillId="0" borderId="8" xfId="0" applyFont="1" applyBorder="1" applyAlignment="1">
      <alignment horizontal="left"/>
    </xf>
    <xf numFmtId="0" fontId="34" fillId="0" borderId="10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1" fontId="2" fillId="0" borderId="3" xfId="0" applyNumberFormat="1" applyFont="1" applyBorder="1" applyAlignment="1">
      <alignment horizontal="right"/>
    </xf>
    <xf numFmtId="170" fontId="4" fillId="0" borderId="3" xfId="1" applyNumberFormat="1" applyFont="1" applyBorder="1" applyAlignment="1" applyProtection="1">
      <alignment horizontal="center"/>
    </xf>
    <xf numFmtId="2" fontId="3" fillId="0" borderId="3" xfId="0" applyNumberFormat="1" applyFont="1" applyBorder="1" applyAlignment="1">
      <alignment horizontal="center"/>
    </xf>
    <xf numFmtId="10" fontId="4" fillId="0" borderId="3" xfId="1" applyNumberFormat="1" applyFont="1" applyBorder="1" applyAlignment="1" applyProtection="1">
      <alignment horizontal="center"/>
    </xf>
    <xf numFmtId="0" fontId="3" fillId="0" borderId="3" xfId="0" applyFont="1" applyBorder="1" applyAlignment="1">
      <alignment horizontal="center"/>
    </xf>
    <xf numFmtId="0" fontId="26" fillId="0" borderId="0" xfId="0" applyFont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/>
    </xf>
    <xf numFmtId="2" fontId="4" fillId="0" borderId="3" xfId="0" applyNumberFormat="1" applyFont="1" applyBorder="1" applyAlignment="1">
      <alignment horizontal="right" vertical="center"/>
    </xf>
    <xf numFmtId="172" fontId="4" fillId="0" borderId="3" xfId="0" applyNumberFormat="1" applyFont="1" applyBorder="1" applyAlignment="1">
      <alignment horizontal="center"/>
    </xf>
    <xf numFmtId="172" fontId="4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 vertical="center"/>
    </xf>
    <xf numFmtId="4" fontId="4" fillId="8" borderId="3" xfId="0" applyNumberFormat="1" applyFont="1" applyFill="1" applyBorder="1"/>
    <xf numFmtId="2" fontId="8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2" fontId="0" fillId="0" borderId="11" xfId="0" applyNumberForma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right" vertical="center"/>
    </xf>
    <xf numFmtId="0" fontId="26" fillId="0" borderId="11" xfId="0" applyFont="1" applyBorder="1" applyAlignment="1">
      <alignment horizontal="right"/>
    </xf>
    <xf numFmtId="174" fontId="4" fillId="38" borderId="3" xfId="0" applyNumberFormat="1" applyFont="1" applyFill="1" applyBorder="1" applyAlignment="1">
      <alignment horizontal="center"/>
    </xf>
    <xf numFmtId="0" fontId="9" fillId="8" borderId="8" xfId="0" applyFont="1" applyFill="1" applyBorder="1" applyAlignment="1">
      <alignment vertical="center"/>
    </xf>
    <xf numFmtId="9" fontId="4" fillId="13" borderId="3" xfId="1" applyFont="1" applyFill="1" applyBorder="1" applyAlignment="1" applyProtection="1">
      <alignment horizontal="right" indent="1"/>
    </xf>
    <xf numFmtId="0" fontId="4" fillId="22" borderId="1" xfId="0" applyFont="1" applyFill="1" applyBorder="1" applyAlignment="1">
      <alignment horizontal="left" vertical="center"/>
    </xf>
    <xf numFmtId="0" fontId="4" fillId="22" borderId="3" xfId="0" applyFont="1" applyFill="1" applyBorder="1" applyAlignment="1">
      <alignment horizontal="right"/>
    </xf>
    <xf numFmtId="0" fontId="9" fillId="40" borderId="5" xfId="0" applyFont="1" applyFill="1" applyBorder="1" applyAlignment="1">
      <alignment horizontal="left" vertical="center"/>
    </xf>
    <xf numFmtId="0" fontId="9" fillId="40" borderId="6" xfId="0" applyFont="1" applyFill="1" applyBorder="1"/>
    <xf numFmtId="0" fontId="9" fillId="40" borderId="8" xfId="0" applyFont="1" applyFill="1" applyBorder="1" applyAlignment="1">
      <alignment horizontal="left" vertical="center"/>
    </xf>
    <xf numFmtId="0" fontId="9" fillId="40" borderId="9" xfId="0" applyFont="1" applyFill="1" applyBorder="1"/>
    <xf numFmtId="0" fontId="9" fillId="40" borderId="9" xfId="0" applyFont="1" applyFill="1" applyBorder="1" applyAlignment="1">
      <alignment horizontal="left"/>
    </xf>
    <xf numFmtId="2" fontId="2" fillId="40" borderId="6" xfId="0" applyNumberFormat="1" applyFont="1" applyFill="1" applyBorder="1" applyAlignment="1">
      <alignment horizontal="right" indent="1"/>
    </xf>
    <xf numFmtId="0" fontId="4" fillId="43" borderId="1" xfId="0" applyFont="1" applyFill="1" applyBorder="1" applyAlignment="1">
      <alignment vertical="center"/>
    </xf>
    <xf numFmtId="0" fontId="4" fillId="43" borderId="3" xfId="0" applyFont="1" applyFill="1" applyBorder="1"/>
    <xf numFmtId="1" fontId="4" fillId="43" borderId="9" xfId="0" applyNumberFormat="1" applyFont="1" applyFill="1" applyBorder="1" applyAlignment="1">
      <alignment horizontal="right" indent="1"/>
    </xf>
    <xf numFmtId="0" fontId="4" fillId="40" borderId="1" xfId="0" applyFont="1" applyFill="1" applyBorder="1" applyAlignment="1">
      <alignment vertical="center"/>
    </xf>
    <xf numFmtId="174" fontId="4" fillId="40" borderId="3" xfId="0" applyNumberFormat="1" applyFont="1" applyFill="1" applyBorder="1" applyAlignment="1">
      <alignment horizontal="right" indent="1"/>
    </xf>
    <xf numFmtId="10" fontId="4" fillId="40" borderId="3" xfId="0" applyNumberFormat="1" applyFont="1" applyFill="1" applyBorder="1" applyAlignment="1">
      <alignment horizontal="right" indent="1"/>
    </xf>
    <xf numFmtId="0" fontId="4" fillId="40" borderId="3" xfId="0" applyFont="1" applyFill="1" applyBorder="1"/>
    <xf numFmtId="9" fontId="4" fillId="40" borderId="3" xfId="0" applyNumberFormat="1" applyFont="1" applyFill="1" applyBorder="1" applyAlignment="1">
      <alignment horizontal="right" indent="1"/>
    </xf>
    <xf numFmtId="0" fontId="4" fillId="43" borderId="3" xfId="0" applyFont="1" applyFill="1" applyBorder="1" applyAlignment="1">
      <alignment horizontal="center"/>
    </xf>
    <xf numFmtId="1" fontId="2" fillId="37" borderId="3" xfId="0" applyNumberFormat="1" applyFont="1" applyFill="1" applyBorder="1" applyAlignment="1">
      <alignment horizontal="right" indent="1"/>
    </xf>
    <xf numFmtId="3" fontId="4" fillId="40" borderId="3" xfId="0" applyNumberFormat="1" applyFont="1" applyFill="1" applyBorder="1" applyAlignment="1">
      <alignment horizontal="right" indent="1"/>
    </xf>
    <xf numFmtId="174" fontId="4" fillId="0" borderId="11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right" indent="1"/>
    </xf>
    <xf numFmtId="165" fontId="14" fillId="19" borderId="3" xfId="0" applyNumberFormat="1" applyFont="1" applyFill="1" applyBorder="1" applyAlignment="1">
      <alignment horizontal="center" vertical="center"/>
    </xf>
    <xf numFmtId="165" fontId="16" fillId="19" borderId="3" xfId="0" applyNumberFormat="1" applyFont="1" applyFill="1" applyBorder="1" applyAlignment="1">
      <alignment horizontal="center" vertical="center"/>
    </xf>
    <xf numFmtId="165" fontId="16" fillId="19" borderId="3" xfId="0" applyNumberFormat="1" applyFont="1" applyFill="1" applyBorder="1" applyAlignment="1">
      <alignment horizontal="left" vertical="center"/>
    </xf>
    <xf numFmtId="2" fontId="14" fillId="19" borderId="3" xfId="0" applyNumberFormat="1" applyFont="1" applyFill="1" applyBorder="1" applyAlignment="1">
      <alignment horizontal="right" vertical="center"/>
    </xf>
    <xf numFmtId="165" fontId="14" fillId="19" borderId="3" xfId="0" applyNumberFormat="1" applyFont="1" applyFill="1" applyBorder="1" applyAlignment="1">
      <alignment vertical="center"/>
    </xf>
    <xf numFmtId="2" fontId="9" fillId="0" borderId="3" xfId="0" applyNumberFormat="1" applyFont="1" applyBorder="1" applyAlignment="1">
      <alignment horizontal="left"/>
    </xf>
    <xf numFmtId="9" fontId="4" fillId="12" borderId="3" xfId="1" applyFont="1" applyFill="1" applyBorder="1" applyAlignment="1" applyProtection="1">
      <alignment horizontal="right" indent="1"/>
    </xf>
    <xf numFmtId="177" fontId="9" fillId="8" borderId="3" xfId="0" applyNumberFormat="1" applyFont="1" applyFill="1" applyBorder="1"/>
    <xf numFmtId="4" fontId="9" fillId="8" borderId="3" xfId="0" applyNumberFormat="1" applyFont="1" applyFill="1" applyBorder="1" applyAlignment="1">
      <alignment horizontal="right" indent="1"/>
    </xf>
    <xf numFmtId="0" fontId="9" fillId="8" borderId="3" xfId="0" applyFont="1" applyFill="1" applyBorder="1"/>
    <xf numFmtId="0" fontId="9" fillId="40" borderId="1" xfId="0" applyFont="1" applyFill="1" applyBorder="1" applyAlignment="1">
      <alignment horizontal="center"/>
    </xf>
    <xf numFmtId="0" fontId="9" fillId="40" borderId="3" xfId="0" applyFont="1" applyFill="1" applyBorder="1" applyAlignment="1">
      <alignment horizontal="center"/>
    </xf>
    <xf numFmtId="0" fontId="9" fillId="40" borderId="4" xfId="0" applyFont="1" applyFill="1" applyBorder="1" applyAlignment="1">
      <alignment horizontal="center"/>
    </xf>
    <xf numFmtId="10" fontId="2" fillId="22" borderId="3" xfId="0" applyNumberFormat="1" applyFont="1" applyFill="1" applyBorder="1" applyAlignment="1">
      <alignment horizontal="right" indent="1"/>
    </xf>
    <xf numFmtId="0" fontId="7" fillId="0" borderId="0" xfId="2" applyAlignment="1">
      <alignment horizontal="right"/>
    </xf>
    <xf numFmtId="10" fontId="2" fillId="0" borderId="11" xfId="0" applyNumberFormat="1" applyFont="1" applyBorder="1" applyAlignment="1">
      <alignment horizontal="right" indent="1"/>
    </xf>
    <xf numFmtId="9" fontId="2" fillId="0" borderId="11" xfId="0" applyNumberFormat="1" applyFont="1" applyBorder="1" applyAlignment="1">
      <alignment horizontal="right" indent="1"/>
    </xf>
    <xf numFmtId="0" fontId="2" fillId="28" borderId="3" xfId="0" applyFont="1" applyFill="1" applyBorder="1"/>
    <xf numFmtId="10" fontId="2" fillId="28" borderId="3" xfId="0" applyNumberFormat="1" applyFont="1" applyFill="1" applyBorder="1" applyAlignment="1">
      <alignment horizontal="right" indent="1"/>
    </xf>
    <xf numFmtId="0" fontId="7" fillId="0" borderId="11" xfId="2" applyBorder="1" applyAlignment="1">
      <alignment horizontal="right"/>
    </xf>
    <xf numFmtId="3" fontId="11" fillId="0" borderId="0" xfId="0" applyNumberFormat="1" applyFont="1" applyAlignment="1">
      <alignment horizontal="right"/>
    </xf>
    <xf numFmtId="170" fontId="4" fillId="0" borderId="3" xfId="0" applyNumberFormat="1" applyFont="1" applyBorder="1" applyAlignment="1">
      <alignment horizontal="right" indent="1"/>
    </xf>
    <xf numFmtId="9" fontId="4" fillId="29" borderId="3" xfId="0" applyNumberFormat="1" applyFont="1" applyFill="1" applyBorder="1" applyAlignment="1">
      <alignment horizontal="right" indent="1"/>
    </xf>
    <xf numFmtId="4" fontId="4" fillId="0" borderId="9" xfId="0" applyNumberFormat="1" applyFont="1" applyBorder="1" applyAlignment="1">
      <alignment horizontal="right" indent="1"/>
    </xf>
    <xf numFmtId="0" fontId="4" fillId="0" borderId="7" xfId="0" applyFont="1" applyBorder="1"/>
    <xf numFmtId="170" fontId="4" fillId="0" borderId="6" xfId="0" applyNumberFormat="1" applyFont="1" applyBorder="1" applyAlignment="1">
      <alignment horizontal="right" inden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4" fillId="28" borderId="1" xfId="0" applyFont="1" applyFill="1" applyBorder="1" applyAlignment="1">
      <alignment vertical="center"/>
    </xf>
    <xf numFmtId="174" fontId="4" fillId="0" borderId="6" xfId="0" applyNumberFormat="1" applyFont="1" applyBorder="1" applyAlignment="1">
      <alignment horizontal="right"/>
    </xf>
    <xf numFmtId="2" fontId="2" fillId="0" borderId="11" xfId="0" applyNumberFormat="1" applyFont="1" applyBorder="1" applyAlignment="1">
      <alignment horizontal="right" indent="1"/>
    </xf>
    <xf numFmtId="0" fontId="2" fillId="44" borderId="1" xfId="0" applyFont="1" applyFill="1" applyBorder="1" applyAlignment="1">
      <alignment vertical="center"/>
    </xf>
    <xf numFmtId="0" fontId="4" fillId="44" borderId="3" xfId="0" applyFont="1" applyFill="1" applyBorder="1"/>
    <xf numFmtId="2" fontId="2" fillId="44" borderId="3" xfId="0" applyNumberFormat="1" applyFont="1" applyFill="1" applyBorder="1" applyAlignment="1">
      <alignment horizontal="right" indent="1"/>
    </xf>
    <xf numFmtId="0" fontId="2" fillId="44" borderId="3" xfId="0" applyFont="1" applyFill="1" applyBorder="1"/>
    <xf numFmtId="0" fontId="11" fillId="0" borderId="3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" fontId="0" fillId="0" borderId="2" xfId="0" applyNumberFormat="1" applyBorder="1"/>
    <xf numFmtId="3" fontId="0" fillId="0" borderId="2" xfId="0" applyNumberFormat="1" applyBorder="1"/>
    <xf numFmtId="3" fontId="11" fillId="0" borderId="8" xfId="0" applyNumberFormat="1" applyFont="1" applyBorder="1"/>
    <xf numFmtId="3" fontId="11" fillId="0" borderId="40" xfId="0" applyNumberFormat="1" applyFont="1" applyBorder="1"/>
    <xf numFmtId="10" fontId="2" fillId="0" borderId="3" xfId="0" applyNumberFormat="1" applyFont="1" applyBorder="1" applyAlignment="1">
      <alignment horizontal="right" indent="1"/>
    </xf>
    <xf numFmtId="10" fontId="4" fillId="0" borderId="0" xfId="0" applyNumberFormat="1" applyFont="1"/>
    <xf numFmtId="10" fontId="2" fillId="8" borderId="3" xfId="0" applyNumberFormat="1" applyFont="1" applyFill="1" applyBorder="1"/>
    <xf numFmtId="0" fontId="11" fillId="0" borderId="13" xfId="0" applyFont="1" applyBorder="1" applyAlignment="1">
      <alignment horizontal="center" vertical="center" wrapText="1"/>
    </xf>
    <xf numFmtId="4" fontId="0" fillId="0" borderId="2" xfId="0" applyNumberFormat="1" applyBorder="1"/>
    <xf numFmtId="4" fontId="11" fillId="0" borderId="8" xfId="0" applyNumberFormat="1" applyFont="1" applyBorder="1"/>
    <xf numFmtId="4" fontId="11" fillId="0" borderId="40" xfId="0" applyNumberFormat="1" applyFont="1" applyBorder="1"/>
    <xf numFmtId="4" fontId="8" fillId="0" borderId="1" xfId="0" applyNumberFormat="1" applyFont="1" applyBorder="1"/>
    <xf numFmtId="4" fontId="11" fillId="0" borderId="1" xfId="0" applyNumberFormat="1" applyFont="1" applyBorder="1"/>
    <xf numFmtId="0" fontId="11" fillId="0" borderId="41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/>
    </xf>
    <xf numFmtId="4" fontId="0" fillId="0" borderId="41" xfId="0" applyNumberFormat="1" applyBorder="1"/>
    <xf numFmtId="4" fontId="11" fillId="0" borderId="41" xfId="0" applyNumberFormat="1" applyFont="1" applyBorder="1"/>
    <xf numFmtId="4" fontId="8" fillId="0" borderId="41" xfId="0" applyNumberFormat="1" applyFont="1" applyBorder="1"/>
    <xf numFmtId="0" fontId="9" fillId="0" borderId="6" xfId="0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left" vertical="center" wrapText="1"/>
    </xf>
    <xf numFmtId="2" fontId="4" fillId="5" borderId="3" xfId="0" applyNumberFormat="1" applyFont="1" applyFill="1" applyBorder="1" applyAlignment="1">
      <alignment horizontal="right" indent="1"/>
    </xf>
    <xf numFmtId="0" fontId="5" fillId="0" borderId="0" xfId="0" applyFont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12" xfId="0" applyFont="1" applyBorder="1" applyAlignment="1">
      <alignment horizontal="left"/>
    </xf>
    <xf numFmtId="0" fontId="4" fillId="26" borderId="1" xfId="0" applyFont="1" applyFill="1" applyBorder="1" applyAlignment="1">
      <alignment horizontal="left" vertical="center"/>
    </xf>
    <xf numFmtId="0" fontId="10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4" fillId="0" borderId="0" xfId="0" quotePrefix="1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3" fillId="0" borderId="0" xfId="0" applyFont="1"/>
    <xf numFmtId="0" fontId="0" fillId="0" borderId="0" xfId="0"/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3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" fontId="2" fillId="0" borderId="13" xfId="0" applyNumberFormat="1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2" fillId="25" borderId="5" xfId="0" applyFont="1" applyFill="1" applyBorder="1" applyAlignment="1">
      <alignment vertical="center"/>
    </xf>
    <xf numFmtId="0" fontId="0" fillId="32" borderId="2" xfId="0" applyFill="1" applyBorder="1" applyAlignment="1">
      <alignment vertical="center"/>
    </xf>
    <xf numFmtId="0" fontId="0" fillId="32" borderId="8" xfId="0" applyFill="1" applyBorder="1" applyAlignment="1">
      <alignment vertical="center"/>
    </xf>
    <xf numFmtId="0" fontId="11" fillId="0" borderId="2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9" fontId="8" fillId="0" borderId="22" xfId="1" applyBorder="1" applyAlignment="1">
      <alignment vertical="center"/>
    </xf>
    <xf numFmtId="9" fontId="8" fillId="0" borderId="20" xfId="1" applyBorder="1" applyAlignment="1">
      <alignment vertical="center"/>
    </xf>
    <xf numFmtId="2" fontId="0" fillId="0" borderId="13" xfId="0" applyNumberFormat="1" applyBorder="1" applyAlignment="1">
      <alignment horizontal="right" vertical="center"/>
    </xf>
    <xf numFmtId="2" fontId="0" fillId="0" borderId="14" xfId="0" applyNumberFormat="1" applyBorder="1" applyAlignment="1">
      <alignment horizontal="right" vertical="center"/>
    </xf>
    <xf numFmtId="0" fontId="11" fillId="0" borderId="2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4" fontId="9" fillId="34" borderId="1" xfId="0" applyNumberFormat="1" applyFont="1" applyFill="1" applyBorder="1" applyAlignment="1">
      <alignment horizontal="center" vertical="center" wrapText="1"/>
    </xf>
    <xf numFmtId="4" fontId="9" fillId="34" borderId="4" xfId="0" applyNumberFormat="1" applyFont="1" applyFill="1" applyBorder="1" applyAlignment="1">
      <alignment horizontal="center" vertical="center" wrapText="1"/>
    </xf>
    <xf numFmtId="3" fontId="9" fillId="34" borderId="1" xfId="0" applyNumberFormat="1" applyFont="1" applyFill="1" applyBorder="1" applyAlignment="1">
      <alignment horizontal="center" vertical="center" wrapText="1"/>
    </xf>
    <xf numFmtId="3" fontId="9" fillId="34" borderId="4" xfId="0" applyNumberFormat="1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9" fontId="9" fillId="8" borderId="1" xfId="1" applyFont="1" applyFill="1" applyBorder="1" applyAlignment="1">
      <alignment horizontal="center" vertical="center"/>
    </xf>
    <xf numFmtId="9" fontId="9" fillId="8" borderId="4" xfId="1" applyFont="1" applyFill="1" applyBorder="1" applyAlignment="1">
      <alignment horizontal="center" vertical="center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16" fillId="19" borderId="1" xfId="0" applyFont="1" applyFill="1" applyBorder="1" applyAlignment="1">
      <alignment horizontal="center" vertical="center" wrapText="1"/>
    </xf>
    <xf numFmtId="0" fontId="16" fillId="19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6" fillId="19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8" fillId="0" borderId="13" xfId="0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</cellXfs>
  <cellStyles count="10">
    <cellStyle name="Excel Built-in Comma [0]" xfId="9" xr:uid="{00000000-0005-0000-0000-00000D000000}"/>
    <cellStyle name="Excel Built-in Currency [0]" xfId="8" xr:uid="{00000000-0005-0000-0000-00000B000000}"/>
    <cellStyle name="Hipervínculo" xfId="2" builtinId="8"/>
    <cellStyle name="Millares 2" xfId="3" xr:uid="{00000000-0005-0000-0000-000006000000}"/>
    <cellStyle name="Normal" xfId="0" builtinId="0"/>
    <cellStyle name="Normal 2" xfId="4" xr:uid="{00000000-0005-0000-0000-000007000000}"/>
    <cellStyle name="Normal 3" xfId="5" xr:uid="{00000000-0005-0000-0000-000008000000}"/>
    <cellStyle name="Porcentaje" xfId="1" builtinId="5"/>
    <cellStyle name="Porcentaje 2" xfId="6" xr:uid="{00000000-0005-0000-0000-000009000000}"/>
    <cellStyle name="Porcentual 2" xfId="7" xr:uid="{00000000-0005-0000-0000-00000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4BD97"/>
      <rgbColor rgb="FF808080"/>
      <rgbColor rgb="FFDBEEF4"/>
      <rgbColor rgb="FF993366"/>
      <rgbColor rgb="FFFFFFCC"/>
      <rgbColor rgb="FFCCFFFF"/>
      <rgbColor rgb="FF660066"/>
      <rgbColor rgb="FFEEEEEE"/>
      <rgbColor rgb="FF0066CC"/>
      <rgbColor rgb="FFC6D9F1"/>
      <rgbColor rgb="FF000080"/>
      <rgbColor rgb="FFFF00FF"/>
      <rgbColor rgb="FFEBF1DE"/>
      <rgbColor rgb="FF00FFFF"/>
      <rgbColor rgb="FF800080"/>
      <rgbColor rgb="FF800000"/>
      <rgbColor rgb="FF008080"/>
      <rgbColor rgb="FF0000FF"/>
      <rgbColor rgb="FF00CCFF"/>
      <rgbColor rgb="FFD2F9FE"/>
      <rgbColor rgb="FFCCFF99"/>
      <rgbColor rgb="FFEBFED2"/>
      <rgbColor rgb="FF8EB4E3"/>
      <rgbColor rgb="FFFDEADA"/>
      <rgbColor rgb="FFDCE6F2"/>
      <rgbColor rgb="FFDDD9C3"/>
      <rgbColor rgb="FF3366FF"/>
      <rgbColor rgb="FF33CCCC"/>
      <rgbColor rgb="FFF9F9F9"/>
      <rgbColor rgb="FFEEECE1"/>
      <rgbColor rgb="FFFF9900"/>
      <rgbColor rgb="FFFF6600"/>
      <rgbColor rgb="FF4A80AE"/>
      <rgbColor rgb="FF9A9EA3"/>
      <rgbColor rgb="FF004494"/>
      <rgbColor rgb="FF2C9243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EF8FE"/>
      <color rgb="FFFFFFCC"/>
      <color rgb="FFF5FC98"/>
      <color rgb="FFD1F3FF"/>
      <color rgb="FFD6EBF2"/>
      <color rgb="FFABE9FF"/>
      <color rgb="FFD9D9D9"/>
      <color rgb="FFF9FC92"/>
      <color rgb="FFF4B2B2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59</xdr:row>
      <xdr:rowOff>0</xdr:rowOff>
    </xdr:from>
    <xdr:to>
      <xdr:col>21</xdr:col>
      <xdr:colOff>28575</xdr:colOff>
      <xdr:row>59</xdr:row>
      <xdr:rowOff>9525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0F8EE59-9E88-46EA-B2E0-99C5A6AA1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9725" y="16487775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37</xdr:row>
      <xdr:rowOff>0</xdr:rowOff>
    </xdr:from>
    <xdr:to>
      <xdr:col>7</xdr:col>
      <xdr:colOff>304800</xdr:colOff>
      <xdr:row>38</xdr:row>
      <xdr:rowOff>152400</xdr:rowOff>
    </xdr:to>
    <xdr:sp macro="" textlink="">
      <xdr:nvSpPr>
        <xdr:cNvPr id="2" name="AutoShape 5" descr="{\displaystyle Q=0.2787\ C\ D_{i}^{2.63}\ S^{0.54}}">
          <a:extLst>
            <a:ext uri="{FF2B5EF4-FFF2-40B4-BE49-F238E27FC236}">
              <a16:creationId xmlns:a16="http://schemas.microsoft.com/office/drawing/2014/main" id="{F95E3155-D722-44C4-9D21-7F8C954A1944}"/>
            </a:ext>
          </a:extLst>
        </xdr:cNvPr>
        <xdr:cNvSpPr>
          <a:spLocks noChangeAspect="1" noChangeArrowheads="1"/>
        </xdr:cNvSpPr>
      </xdr:nvSpPr>
      <xdr:spPr bwMode="auto">
        <a:xfrm>
          <a:off x="564832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13</xdr:col>
      <xdr:colOff>0</xdr:colOff>
      <xdr:row>55</xdr:row>
      <xdr:rowOff>0</xdr:rowOff>
    </xdr:from>
    <xdr:ext cx="304800" cy="304800"/>
    <xdr:sp macro="" textlink="">
      <xdr:nvSpPr>
        <xdr:cNvPr id="5" name="AutoShape 5" descr="{\displaystyle Q=0.2787\ C\ D_{i}^{2.63}\ S^{0.54}}">
          <a:extLst>
            <a:ext uri="{FF2B5EF4-FFF2-40B4-BE49-F238E27FC236}">
              <a16:creationId xmlns:a16="http://schemas.microsoft.com/office/drawing/2014/main" id="{EC497BDF-DB84-4965-B724-3DE196B23A96}"/>
            </a:ext>
          </a:extLst>
        </xdr:cNvPr>
        <xdr:cNvSpPr>
          <a:spLocks noChangeAspect="1" noChangeArrowheads="1"/>
        </xdr:cNvSpPr>
      </xdr:nvSpPr>
      <xdr:spPr bwMode="auto">
        <a:xfrm>
          <a:off x="11268075" y="1347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27</xdr:row>
      <xdr:rowOff>0</xdr:rowOff>
    </xdr:from>
    <xdr:to>
      <xdr:col>7</xdr:col>
      <xdr:colOff>304800</xdr:colOff>
      <xdr:row>28</xdr:row>
      <xdr:rowOff>161925</xdr:rowOff>
    </xdr:to>
    <xdr:sp macro="" textlink="">
      <xdr:nvSpPr>
        <xdr:cNvPr id="5" name="AutoShape 5" descr="{\displaystyle Q=0.2787\ C\ D_{i}^{2.63}\ S^{0.54}}">
          <a:extLst>
            <a:ext uri="{FF2B5EF4-FFF2-40B4-BE49-F238E27FC236}">
              <a16:creationId xmlns:a16="http://schemas.microsoft.com/office/drawing/2014/main" id="{9C6E8CCA-02E6-4DDE-B85B-76D84CF05C1E}"/>
            </a:ext>
          </a:extLst>
        </xdr:cNvPr>
        <xdr:cNvSpPr>
          <a:spLocks noChangeAspect="1" noChangeArrowheads="1"/>
        </xdr:cNvSpPr>
      </xdr:nvSpPr>
      <xdr:spPr bwMode="auto">
        <a:xfrm>
          <a:off x="5648325" y="8658225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13</xdr:col>
      <xdr:colOff>0</xdr:colOff>
      <xdr:row>27</xdr:row>
      <xdr:rowOff>0</xdr:rowOff>
    </xdr:from>
    <xdr:ext cx="304800" cy="304800"/>
    <xdr:sp macro="" textlink="">
      <xdr:nvSpPr>
        <xdr:cNvPr id="7" name="AutoShape 5" descr="{\displaystyle Q=0.2787\ C\ D_{i}^{2.63}\ S^{0.54}}">
          <a:extLst>
            <a:ext uri="{FF2B5EF4-FFF2-40B4-BE49-F238E27FC236}">
              <a16:creationId xmlns:a16="http://schemas.microsoft.com/office/drawing/2014/main" id="{383D167D-5F69-48FE-A5A0-301A16854688}"/>
            </a:ext>
          </a:extLst>
        </xdr:cNvPr>
        <xdr:cNvSpPr>
          <a:spLocks noChangeAspect="1" noChangeArrowheads="1"/>
        </xdr:cNvSpPr>
      </xdr:nvSpPr>
      <xdr:spPr bwMode="auto">
        <a:xfrm>
          <a:off x="11268075" y="1220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26</xdr:row>
      <xdr:rowOff>0</xdr:rowOff>
    </xdr:from>
    <xdr:ext cx="304800" cy="304800"/>
    <xdr:sp macro="" textlink="">
      <xdr:nvSpPr>
        <xdr:cNvPr id="7" name="AutoShape 5" descr="{\displaystyle Q=0.2787\ C\ D_{i}^{2.63}\ S^{0.54}}">
          <a:extLst>
            <a:ext uri="{FF2B5EF4-FFF2-40B4-BE49-F238E27FC236}">
              <a16:creationId xmlns:a16="http://schemas.microsoft.com/office/drawing/2014/main" id="{DFA5E5B9-69EA-4C1A-ADC4-A468C699A270}"/>
            </a:ext>
          </a:extLst>
        </xdr:cNvPr>
        <xdr:cNvSpPr>
          <a:spLocks noChangeAspect="1" noChangeArrowheads="1"/>
        </xdr:cNvSpPr>
      </xdr:nvSpPr>
      <xdr:spPr bwMode="auto">
        <a:xfrm>
          <a:off x="11268075" y="1220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126999</xdr:rowOff>
    </xdr:from>
    <xdr:to>
      <xdr:col>4</xdr:col>
      <xdr:colOff>1270000</xdr:colOff>
      <xdr:row>62</xdr:row>
      <xdr:rowOff>27677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6E7CC10-9B1D-4870-ACB3-B53499EE5A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24" r="1579"/>
        <a:stretch/>
      </xdr:blipFill>
      <xdr:spPr bwMode="auto">
        <a:xfrm>
          <a:off x="0" y="3733799"/>
          <a:ext cx="7467600" cy="5768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228600</xdr:colOff>
      <xdr:row>28</xdr:row>
      <xdr:rowOff>38100</xdr:rowOff>
    </xdr:from>
    <xdr:to>
      <xdr:col>14</xdr:col>
      <xdr:colOff>628812</xdr:colOff>
      <xdr:row>59</xdr:row>
      <xdr:rowOff>25400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9FF0720-10E8-4EC1-9A71-DB9F4B666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3810000"/>
          <a:ext cx="8286912" cy="519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gineeringtoolbox.com/pvc-cpvc-pipes-dimensions-d_795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diproagro.com/triple15" TargetMode="External"/><Relationship Id="rId1" Type="http://schemas.openxmlformats.org/officeDocument/2006/relationships/hyperlink" Target="https://www.quiminet.com/archivos_empresa/3d4c7a4cfb3d9c3315bc99cae9417395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hermexcel.com/english/tables/eau_atm.ht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BCC0-0F59-4D67-BA65-748B1712C571}">
  <dimension ref="A1:AMK59"/>
  <sheetViews>
    <sheetView showGridLines="0" topLeftCell="B7" zoomScale="71" zoomScaleNormal="71" workbookViewId="0">
      <selection activeCell="E6" sqref="E6"/>
    </sheetView>
  </sheetViews>
  <sheetFormatPr baseColWidth="10" defaultColWidth="9.140625" defaultRowHeight="14.25" x14ac:dyDescent="0.2"/>
  <cols>
    <col min="1" max="1" width="19.5703125" customWidth="1"/>
    <col min="2" max="2" width="49.140625" style="2" customWidth="1"/>
    <col min="3" max="3" width="61.28515625" style="1" customWidth="1"/>
    <col min="4" max="4" width="14.140625" style="31" customWidth="1"/>
    <col min="5" max="5" width="9.85546875" style="1" customWidth="1"/>
    <col min="6" max="6" width="13.7109375" style="1" customWidth="1"/>
    <col min="7" max="7" width="14" style="31" customWidth="1"/>
    <col min="8" max="8" width="15.28515625" style="1" customWidth="1"/>
    <col min="9" max="9" width="12.7109375" style="1" customWidth="1"/>
    <col min="10" max="10" width="38.5703125" style="1" customWidth="1"/>
    <col min="11" max="11" width="21.5703125" style="1" customWidth="1"/>
    <col min="12" max="12" width="18.28515625" style="1" customWidth="1"/>
    <col min="13" max="13" width="15.5703125" style="1" customWidth="1"/>
    <col min="14" max="1025" width="11.42578125" style="1" customWidth="1"/>
  </cols>
  <sheetData>
    <row r="1" spans="1:10" ht="31.5" x14ac:dyDescent="0.2">
      <c r="A1" s="392" t="s">
        <v>516</v>
      </c>
      <c r="B1" s="752" t="s">
        <v>121</v>
      </c>
      <c r="C1" s="862" t="s">
        <v>393</v>
      </c>
      <c r="D1" s="863"/>
      <c r="E1" s="863"/>
      <c r="F1" s="863"/>
      <c r="G1" s="392" t="s">
        <v>264</v>
      </c>
      <c r="H1" s="393" t="s">
        <v>265</v>
      </c>
    </row>
    <row r="2" spans="1:10" ht="21.75" customHeight="1" x14ac:dyDescent="0.25">
      <c r="A2" s="189"/>
      <c r="B2" s="39"/>
      <c r="C2" s="857" t="s">
        <v>391</v>
      </c>
      <c r="D2" s="857"/>
      <c r="E2" s="857"/>
      <c r="F2" s="857"/>
      <c r="G2" s="38"/>
    </row>
    <row r="3" spans="1:10" ht="15" customHeight="1" x14ac:dyDescent="0.25">
      <c r="A3" s="189"/>
      <c r="C3" s="16" t="s">
        <v>212</v>
      </c>
      <c r="I3" s="6"/>
      <c r="J3" s="6"/>
    </row>
    <row r="4" spans="1:10" ht="15" customHeight="1" x14ac:dyDescent="0.2">
      <c r="A4" s="189"/>
      <c r="B4" s="190" t="s">
        <v>362</v>
      </c>
      <c r="C4" s="662" t="s">
        <v>65</v>
      </c>
      <c r="D4" s="105" t="s">
        <v>44</v>
      </c>
      <c r="E4" s="236">
        <v>9.5</v>
      </c>
      <c r="F4" s="37" t="s">
        <v>4</v>
      </c>
      <c r="G4" s="55">
        <v>9.5</v>
      </c>
      <c r="H4" s="607">
        <f t="shared" ref="H4:H9" si="0">G4-E4</f>
        <v>0</v>
      </c>
      <c r="I4" s="6"/>
      <c r="J4" s="6"/>
    </row>
    <row r="5" spans="1:10" ht="15" customHeight="1" x14ac:dyDescent="0.2">
      <c r="A5" s="189"/>
      <c r="B5" s="190"/>
      <c r="C5" s="54" t="s">
        <v>66</v>
      </c>
      <c r="D5" s="20" t="s">
        <v>5</v>
      </c>
      <c r="E5" s="55">
        <f>E4^2/19.6</f>
        <v>4.6045918367346932</v>
      </c>
      <c r="F5" s="23" t="s">
        <v>6</v>
      </c>
      <c r="G5" s="55">
        <f>G4^2/19.6</f>
        <v>4.6045918367346932</v>
      </c>
      <c r="H5" s="607">
        <f t="shared" si="0"/>
        <v>0</v>
      </c>
      <c r="I5" s="6"/>
      <c r="J5" s="6"/>
    </row>
    <row r="6" spans="1:10" ht="15" customHeight="1" x14ac:dyDescent="0.2">
      <c r="A6" s="189"/>
      <c r="B6" s="190"/>
      <c r="C6" s="54" t="s">
        <v>127</v>
      </c>
      <c r="D6" s="20" t="s">
        <v>16</v>
      </c>
      <c r="E6" s="55">
        <f>1000*E14*E4/1000000</f>
        <v>0.76612749999999996</v>
      </c>
      <c r="F6" s="8" t="s">
        <v>14</v>
      </c>
      <c r="G6" s="55">
        <f>1000*G14*G4/1000000</f>
        <v>0.76612749999999996</v>
      </c>
      <c r="H6" s="607">
        <f t="shared" si="0"/>
        <v>0</v>
      </c>
      <c r="I6" s="6"/>
      <c r="J6" s="6"/>
    </row>
    <row r="7" spans="1:10" ht="15" customHeight="1" x14ac:dyDescent="0.2">
      <c r="A7" s="189"/>
      <c r="B7" s="753" t="s">
        <v>477</v>
      </c>
      <c r="C7" s="53" t="s">
        <v>129</v>
      </c>
      <c r="D7" s="20" t="s">
        <v>166</v>
      </c>
      <c r="E7" s="15">
        <f>9.81*0.001*E5*E6</f>
        <v>3.460678048182398E-2</v>
      </c>
      <c r="F7" s="13" t="s">
        <v>18</v>
      </c>
      <c r="G7" s="15">
        <f>9.81*0.001*G5*G6</f>
        <v>3.460678048182398E-2</v>
      </c>
      <c r="H7" s="607">
        <f t="shared" si="0"/>
        <v>0</v>
      </c>
      <c r="I7" s="6"/>
      <c r="J7" s="6"/>
    </row>
    <row r="8" spans="1:10" ht="15" customHeight="1" x14ac:dyDescent="0.2">
      <c r="A8" s="189"/>
      <c r="B8" s="190" t="s">
        <v>362</v>
      </c>
      <c r="C8" s="5" t="s">
        <v>128</v>
      </c>
      <c r="D8" s="27"/>
      <c r="E8" s="194">
        <v>16</v>
      </c>
      <c r="F8" s="210" t="s">
        <v>43</v>
      </c>
      <c r="G8" s="658">
        <v>16</v>
      </c>
      <c r="H8" s="607">
        <f t="shared" si="0"/>
        <v>0</v>
      </c>
      <c r="I8" s="6"/>
      <c r="J8" s="6"/>
    </row>
    <row r="9" spans="1:10" ht="15" customHeight="1" x14ac:dyDescent="0.2">
      <c r="A9" s="189"/>
      <c r="B9" s="190"/>
      <c r="C9" s="186" t="s">
        <v>15</v>
      </c>
      <c r="D9" s="192"/>
      <c r="E9" s="193">
        <f>E8*E6</f>
        <v>12.258039999999999</v>
      </c>
      <c r="F9" s="187" t="s">
        <v>14</v>
      </c>
      <c r="G9" s="55">
        <f>G8*G6</f>
        <v>12.258039999999999</v>
      </c>
      <c r="H9" s="607">
        <f t="shared" si="0"/>
        <v>0</v>
      </c>
      <c r="I9" s="6"/>
      <c r="J9" s="6"/>
    </row>
    <row r="10" spans="1:10" ht="15" customHeight="1" x14ac:dyDescent="0.25">
      <c r="A10" s="189"/>
      <c r="B10" s="190"/>
      <c r="C10" s="663" t="s">
        <v>165</v>
      </c>
      <c r="D10" s="39"/>
      <c r="E10" s="18"/>
      <c r="F10" s="585"/>
      <c r="G10" s="609"/>
      <c r="H10" s="584"/>
      <c r="I10" s="6"/>
      <c r="J10" s="6"/>
    </row>
    <row r="11" spans="1:10" ht="15" customHeight="1" x14ac:dyDescent="0.2">
      <c r="A11" s="189"/>
      <c r="B11" s="190" t="s">
        <v>362</v>
      </c>
      <c r="C11" s="662" t="s">
        <v>203</v>
      </c>
      <c r="D11" s="105" t="s">
        <v>472</v>
      </c>
      <c r="E11" s="236">
        <v>4</v>
      </c>
      <c r="F11" s="37" t="s">
        <v>20</v>
      </c>
      <c r="G11" s="55">
        <v>4</v>
      </c>
      <c r="H11" s="607">
        <f t="shared" ref="H11:H34" si="1">G11-E11</f>
        <v>0</v>
      </c>
      <c r="I11" s="6"/>
      <c r="J11" s="6"/>
    </row>
    <row r="12" spans="1:10" ht="15" customHeight="1" x14ac:dyDescent="0.2">
      <c r="A12" s="189"/>
      <c r="B12" s="190"/>
      <c r="C12" s="664" t="s">
        <v>32</v>
      </c>
      <c r="D12" s="208"/>
      <c r="E12" s="209">
        <v>1000</v>
      </c>
      <c r="F12" s="210" t="s">
        <v>33</v>
      </c>
      <c r="G12" s="51">
        <v>1000</v>
      </c>
      <c r="H12" s="607">
        <f t="shared" si="1"/>
        <v>0</v>
      </c>
      <c r="I12" s="6"/>
      <c r="J12" s="6"/>
    </row>
    <row r="13" spans="1:10" ht="15" customHeight="1" x14ac:dyDescent="0.2">
      <c r="A13" s="189"/>
      <c r="B13" s="190"/>
      <c r="C13" s="664" t="s">
        <v>34</v>
      </c>
      <c r="D13" s="208" t="s">
        <v>35</v>
      </c>
      <c r="E13" s="209">
        <v>25</v>
      </c>
      <c r="F13" s="210" t="s">
        <v>36</v>
      </c>
      <c r="G13" s="51">
        <v>25</v>
      </c>
      <c r="H13" s="607">
        <f t="shared" si="1"/>
        <v>0</v>
      </c>
      <c r="I13"/>
      <c r="J13"/>
    </row>
    <row r="14" spans="1:10" ht="15" customHeight="1" x14ac:dyDescent="0.2">
      <c r="A14" s="189"/>
      <c r="B14" s="190"/>
      <c r="C14" s="53" t="s">
        <v>64</v>
      </c>
      <c r="D14" s="20"/>
      <c r="E14" s="55">
        <f>E51</f>
        <v>80.644999999999996</v>
      </c>
      <c r="F14" s="13" t="s">
        <v>10</v>
      </c>
      <c r="G14" s="55">
        <f>E51</f>
        <v>80.644999999999996</v>
      </c>
      <c r="H14" s="607">
        <f t="shared" si="1"/>
        <v>0</v>
      </c>
      <c r="I14"/>
      <c r="J14"/>
    </row>
    <row r="15" spans="1:10" ht="15" customHeight="1" x14ac:dyDescent="0.2">
      <c r="A15" s="189"/>
      <c r="B15" s="190"/>
      <c r="C15" s="53" t="s">
        <v>311</v>
      </c>
      <c r="D15" s="20" t="s">
        <v>305</v>
      </c>
      <c r="E15" s="55">
        <f>2*E52</f>
        <v>6.35</v>
      </c>
      <c r="F15" s="13" t="s">
        <v>9</v>
      </c>
      <c r="G15" s="55">
        <f>2*E52</f>
        <v>6.35</v>
      </c>
      <c r="H15" s="607">
        <f t="shared" si="1"/>
        <v>0</v>
      </c>
      <c r="I15"/>
      <c r="J15"/>
    </row>
    <row r="16" spans="1:10" ht="15" customHeight="1" x14ac:dyDescent="0.2">
      <c r="A16" s="189"/>
      <c r="B16" s="753" t="s">
        <v>478</v>
      </c>
      <c r="C16" s="182" t="s">
        <v>451</v>
      </c>
      <c r="D16" s="191" t="s">
        <v>257</v>
      </c>
      <c r="E16" s="195">
        <f>2.954-0.13*E15</f>
        <v>2.1285000000000003</v>
      </c>
      <c r="F16" s="104" t="s">
        <v>11</v>
      </c>
      <c r="G16" s="55">
        <f>2.954-0.13*G15</f>
        <v>2.1285000000000003</v>
      </c>
      <c r="H16" s="607">
        <f t="shared" si="1"/>
        <v>0</v>
      </c>
      <c r="I16" s="6"/>
      <c r="J16" s="6"/>
    </row>
    <row r="17" spans="1:10" ht="15" customHeight="1" x14ac:dyDescent="0.2">
      <c r="A17" s="189"/>
      <c r="B17" s="753" t="s">
        <v>477</v>
      </c>
      <c r="C17" s="54" t="s">
        <v>347</v>
      </c>
      <c r="D17" s="20"/>
      <c r="E17" s="55">
        <f>E7*E8</f>
        <v>0.55370848770918368</v>
      </c>
      <c r="F17" s="8" t="s">
        <v>168</v>
      </c>
      <c r="G17" s="55">
        <f>G7*G8</f>
        <v>0.55370848770918368</v>
      </c>
      <c r="H17" s="607">
        <f t="shared" si="1"/>
        <v>0</v>
      </c>
      <c r="I17"/>
      <c r="J17"/>
    </row>
    <row r="18" spans="1:10" ht="15" customHeight="1" x14ac:dyDescent="0.2">
      <c r="A18" s="189"/>
      <c r="B18" s="753" t="s">
        <v>479</v>
      </c>
      <c r="C18" s="301" t="s">
        <v>452</v>
      </c>
      <c r="D18" s="302" t="s">
        <v>258</v>
      </c>
      <c r="E18" s="303">
        <f>E16*E17</f>
        <v>1.1785685160889976</v>
      </c>
      <c r="F18" s="118" t="s">
        <v>49</v>
      </c>
      <c r="G18" s="55">
        <f>G16*G17</f>
        <v>1.1785685160889976</v>
      </c>
      <c r="H18" s="607">
        <f t="shared" si="1"/>
        <v>0</v>
      </c>
      <c r="I18"/>
      <c r="J18"/>
    </row>
    <row r="19" spans="1:10" ht="15" customHeight="1" x14ac:dyDescent="0.2">
      <c r="A19" s="189"/>
      <c r="B19" s="190"/>
      <c r="C19" s="665" t="s">
        <v>37</v>
      </c>
      <c r="D19" s="212" t="s">
        <v>17</v>
      </c>
      <c r="E19" s="213">
        <v>101.33</v>
      </c>
      <c r="F19" s="211" t="s">
        <v>38</v>
      </c>
      <c r="G19" s="336">
        <v>101.33</v>
      </c>
      <c r="H19" s="607">
        <f t="shared" si="1"/>
        <v>0</v>
      </c>
      <c r="I19" s="9"/>
      <c r="J19" s="14"/>
    </row>
    <row r="20" spans="1:10" ht="15" customHeight="1" x14ac:dyDescent="0.2">
      <c r="A20" s="189"/>
      <c r="B20" s="190"/>
      <c r="C20" s="666" t="s">
        <v>39</v>
      </c>
      <c r="D20" s="271"/>
      <c r="E20" s="272">
        <f>-9.81*28.97*E12/(8314*(273.15+E13))</f>
        <v>-0.11464963296434179</v>
      </c>
      <c r="F20" s="273"/>
      <c r="G20" s="272">
        <f>-9.81*28.97*G12/(8314*(273.15+G13))</f>
        <v>-0.11464963296434179</v>
      </c>
      <c r="H20" s="607">
        <f t="shared" si="1"/>
        <v>0</v>
      </c>
      <c r="I20" s="9"/>
      <c r="J20" s="14"/>
    </row>
    <row r="21" spans="1:10" ht="15" customHeight="1" x14ac:dyDescent="0.2">
      <c r="A21" s="189"/>
      <c r="B21" s="190"/>
      <c r="C21" s="667" t="s">
        <v>40</v>
      </c>
      <c r="D21" s="274" t="s">
        <v>314</v>
      </c>
      <c r="E21" s="275">
        <f>E19*EXP(E20)</f>
        <v>90.353782803986036</v>
      </c>
      <c r="F21" s="276" t="s">
        <v>38</v>
      </c>
      <c r="G21" s="275">
        <f>G19*EXP(G20)</f>
        <v>90.353782803986036</v>
      </c>
      <c r="H21" s="607">
        <f t="shared" si="1"/>
        <v>0</v>
      </c>
      <c r="I21" s="9"/>
      <c r="J21" s="14"/>
    </row>
    <row r="22" spans="1:10" ht="15" customHeight="1" x14ac:dyDescent="0.2">
      <c r="A22" s="189"/>
      <c r="B22" s="753"/>
      <c r="C22" s="277" t="s">
        <v>290</v>
      </c>
      <c r="D22" s="278"/>
      <c r="E22" s="279">
        <v>0</v>
      </c>
      <c r="F22" s="280" t="s">
        <v>291</v>
      </c>
      <c r="G22" s="272">
        <v>0</v>
      </c>
      <c r="H22" s="607">
        <f t="shared" si="1"/>
        <v>0</v>
      </c>
      <c r="J22" s="14"/>
    </row>
    <row r="23" spans="1:10" ht="15" customHeight="1" x14ac:dyDescent="0.35">
      <c r="A23" s="189"/>
      <c r="B23" s="753" t="s">
        <v>361</v>
      </c>
      <c r="C23" s="668" t="s">
        <v>316</v>
      </c>
      <c r="D23" s="281" t="s">
        <v>319</v>
      </c>
      <c r="E23" s="282">
        <f>VLOOKUP(ROUND(E13,0),'Agua-T(°C)'!B6:G46,6)</f>
        <v>8.24</v>
      </c>
      <c r="F23" s="283" t="s">
        <v>20</v>
      </c>
      <c r="G23" s="272">
        <f>VLOOKUP(ROUND(G13,0),'Agua-T(°C)'!B6:G46,6)</f>
        <v>8.24</v>
      </c>
      <c r="H23" s="607">
        <f t="shared" si="1"/>
        <v>0</v>
      </c>
      <c r="I23" s="9"/>
      <c r="J23" s="14"/>
    </row>
    <row r="24" spans="1:10" ht="15" customHeight="1" x14ac:dyDescent="0.35">
      <c r="A24" s="189"/>
      <c r="B24" s="753"/>
      <c r="C24" s="668" t="s">
        <v>317</v>
      </c>
      <c r="D24" s="281" t="s">
        <v>320</v>
      </c>
      <c r="E24" s="284">
        <f>E23*EXP(E20)</f>
        <v>7.3474308724449315</v>
      </c>
      <c r="F24" s="283" t="s">
        <v>20</v>
      </c>
      <c r="G24" s="275">
        <f>G23*EXP(G20)</f>
        <v>7.3474308724449315</v>
      </c>
      <c r="H24" s="607">
        <f t="shared" si="1"/>
        <v>0</v>
      </c>
      <c r="I24" s="9"/>
      <c r="J24" s="14"/>
    </row>
    <row r="25" spans="1:10" ht="15" customHeight="1" x14ac:dyDescent="0.2">
      <c r="A25" s="189"/>
      <c r="B25" s="753"/>
      <c r="C25" s="307" t="s">
        <v>366</v>
      </c>
      <c r="D25" s="308"/>
      <c r="E25" s="309">
        <v>0.7</v>
      </c>
      <c r="F25" s="310" t="s">
        <v>2</v>
      </c>
      <c r="G25" s="275">
        <v>0.7</v>
      </c>
      <c r="H25" s="607">
        <f t="shared" si="1"/>
        <v>0</v>
      </c>
      <c r="I25" s="9"/>
      <c r="J25" s="14"/>
    </row>
    <row r="26" spans="1:10" ht="15" customHeight="1" x14ac:dyDescent="0.2">
      <c r="A26" s="189"/>
      <c r="B26" s="753"/>
      <c r="C26" s="665" t="s">
        <v>365</v>
      </c>
      <c r="D26" s="212"/>
      <c r="E26" s="213">
        <v>0.3</v>
      </c>
      <c r="F26" s="211" t="s">
        <v>2</v>
      </c>
      <c r="G26" s="336">
        <v>0.3</v>
      </c>
      <c r="H26" s="607">
        <f t="shared" si="1"/>
        <v>0</v>
      </c>
      <c r="I26" s="9"/>
      <c r="J26" s="14"/>
    </row>
    <row r="27" spans="1:10" ht="15" customHeight="1" x14ac:dyDescent="0.2">
      <c r="A27" s="189"/>
      <c r="B27" s="753"/>
      <c r="C27" s="268" t="s">
        <v>364</v>
      </c>
      <c r="D27" s="361"/>
      <c r="E27" s="362">
        <f>E25+0.3</f>
        <v>1</v>
      </c>
      <c r="F27" s="363" t="s">
        <v>2</v>
      </c>
      <c r="G27" s="362">
        <f>G25+0.3</f>
        <v>1</v>
      </c>
      <c r="H27" s="607">
        <f t="shared" si="1"/>
        <v>0</v>
      </c>
      <c r="I27" s="9"/>
      <c r="J27" s="14"/>
    </row>
    <row r="28" spans="1:10" ht="15" customHeight="1" x14ac:dyDescent="0.2">
      <c r="A28" s="189"/>
      <c r="B28" s="753"/>
      <c r="C28" s="669"/>
      <c r="D28" s="285"/>
      <c r="E28" s="286">
        <f>E27*9.8</f>
        <v>9.8000000000000007</v>
      </c>
      <c r="F28" s="287" t="s">
        <v>38</v>
      </c>
      <c r="G28" s="659">
        <f>G27*9.8</f>
        <v>9.8000000000000007</v>
      </c>
      <c r="H28" s="607">
        <f t="shared" si="1"/>
        <v>0</v>
      </c>
      <c r="I28" s="9"/>
      <c r="J28" s="14"/>
    </row>
    <row r="29" spans="1:10" ht="15" customHeight="1" x14ac:dyDescent="0.2">
      <c r="A29" s="189"/>
      <c r="B29" s="753"/>
      <c r="C29" s="670" t="s">
        <v>315</v>
      </c>
      <c r="D29" s="271" t="s">
        <v>19</v>
      </c>
      <c r="E29" s="272">
        <f>E24*(E21+E28/2)/E21</f>
        <v>7.7458913481184739</v>
      </c>
      <c r="F29" s="144" t="s">
        <v>20</v>
      </c>
      <c r="G29" s="272">
        <f>G24*(G21+G28/2)/G21</f>
        <v>7.7458913481184739</v>
      </c>
      <c r="H29" s="607">
        <f t="shared" si="1"/>
        <v>0</v>
      </c>
      <c r="I29" s="9"/>
      <c r="J29" s="14"/>
    </row>
    <row r="30" spans="1:10" ht="15" customHeight="1" x14ac:dyDescent="0.2">
      <c r="A30" s="189"/>
      <c r="B30" s="753" t="s">
        <v>298</v>
      </c>
      <c r="C30" s="235" t="s">
        <v>392</v>
      </c>
      <c r="D30" s="147" t="s">
        <v>21</v>
      </c>
      <c r="E30" s="196">
        <v>0.95</v>
      </c>
      <c r="F30" s="149"/>
      <c r="G30" s="55">
        <v>0.95</v>
      </c>
      <c r="H30" s="607">
        <f t="shared" si="1"/>
        <v>0</v>
      </c>
      <c r="J30" s="14"/>
    </row>
    <row r="31" spans="1:10" ht="15" customHeight="1" x14ac:dyDescent="0.2">
      <c r="A31" s="189"/>
      <c r="B31" s="227" t="s">
        <v>299</v>
      </c>
      <c r="C31" s="235" t="s">
        <v>210</v>
      </c>
      <c r="D31" s="147" t="s">
        <v>68</v>
      </c>
      <c r="E31" s="196">
        <v>0.95</v>
      </c>
      <c r="F31" s="149"/>
      <c r="G31" s="55">
        <v>0.95</v>
      </c>
      <c r="H31" s="607">
        <f t="shared" si="1"/>
        <v>0</v>
      </c>
      <c r="J31" s="14"/>
    </row>
    <row r="32" spans="1:10" ht="15" customHeight="1" x14ac:dyDescent="0.2">
      <c r="A32" s="189"/>
      <c r="B32" s="753" t="s">
        <v>361</v>
      </c>
      <c r="C32" s="671" t="s">
        <v>297</v>
      </c>
      <c r="D32" s="215" t="s">
        <v>19</v>
      </c>
      <c r="E32" s="228">
        <v>9.08</v>
      </c>
      <c r="F32" s="229" t="s">
        <v>20</v>
      </c>
      <c r="G32" s="55">
        <v>9.08</v>
      </c>
      <c r="H32" s="607">
        <f t="shared" si="1"/>
        <v>0</v>
      </c>
      <c r="J32" s="14"/>
    </row>
    <row r="33" spans="1:10" ht="15" customHeight="1" x14ac:dyDescent="0.2">
      <c r="A33" s="189"/>
      <c r="B33" s="767" t="s">
        <v>211</v>
      </c>
      <c r="C33" s="672" t="s">
        <v>310</v>
      </c>
      <c r="D33" s="304" t="s">
        <v>309</v>
      </c>
      <c r="E33" s="305">
        <f>(E30*(E31*E29-E11)*(1.024^(E13-20))/E32)</f>
        <v>0.39563564013214619</v>
      </c>
      <c r="F33" s="306"/>
      <c r="G33" s="660">
        <f>(G30*(G31*G29-G11)*(1.024^(G13-20))/G32)</f>
        <v>0.39563564013214619</v>
      </c>
      <c r="H33" s="607">
        <f t="shared" si="1"/>
        <v>0</v>
      </c>
    </row>
    <row r="34" spans="1:10" ht="33.75" customHeight="1" x14ac:dyDescent="0.2">
      <c r="A34" s="189"/>
      <c r="B34" s="767" t="s">
        <v>442</v>
      </c>
      <c r="C34" s="673" t="s">
        <v>260</v>
      </c>
      <c r="D34" s="103" t="s">
        <v>259</v>
      </c>
      <c r="E34" s="197">
        <f>E18*E33</f>
        <v>0.46628370930246421</v>
      </c>
      <c r="F34" s="150" t="s">
        <v>49</v>
      </c>
      <c r="G34" s="336">
        <f>G18*G33</f>
        <v>0.46628370930246421</v>
      </c>
      <c r="H34" s="607">
        <f t="shared" si="1"/>
        <v>0</v>
      </c>
      <c r="I34" s="14"/>
      <c r="J34" s="14"/>
    </row>
    <row r="35" spans="1:10" ht="15" customHeight="1" x14ac:dyDescent="0.25">
      <c r="A35" s="189"/>
      <c r="B35" s="190"/>
      <c r="C35" s="858" t="s">
        <v>350</v>
      </c>
      <c r="D35" s="859"/>
      <c r="E35" s="859"/>
      <c r="F35" s="860"/>
      <c r="G35" s="609"/>
      <c r="H35" s="584"/>
      <c r="I35" s="41"/>
      <c r="J35" s="6"/>
    </row>
    <row r="36" spans="1:10" ht="15" customHeight="1" x14ac:dyDescent="0.2">
      <c r="A36" s="189"/>
      <c r="B36" s="190"/>
      <c r="C36" s="861" t="s">
        <v>178</v>
      </c>
      <c r="D36" s="216" t="s">
        <v>24</v>
      </c>
      <c r="E36" s="217" t="s">
        <v>45</v>
      </c>
      <c r="F36" s="217" t="s">
        <v>14</v>
      </c>
      <c r="G36" s="606" t="s">
        <v>14</v>
      </c>
      <c r="H36" s="607"/>
      <c r="I36" s="41"/>
      <c r="J36" s="6"/>
    </row>
    <row r="37" spans="1:10" ht="15" customHeight="1" x14ac:dyDescent="0.2">
      <c r="A37" s="189"/>
      <c r="B37" s="190"/>
      <c r="C37" s="861"/>
      <c r="D37" s="218">
        <f>F37*3.6</f>
        <v>88.257887999999994</v>
      </c>
      <c r="E37" s="219">
        <f>15.84*F37</f>
        <v>388.33470719999997</v>
      </c>
      <c r="F37" s="219">
        <f>2*E9</f>
        <v>24.516079999999999</v>
      </c>
      <c r="G37" s="336">
        <f>2*G9</f>
        <v>24.516079999999999</v>
      </c>
      <c r="H37" s="607">
        <f>G37-F37</f>
        <v>0</v>
      </c>
      <c r="I37" s="41"/>
      <c r="J37" s="6"/>
    </row>
    <row r="38" spans="1:10" ht="15" customHeight="1" x14ac:dyDescent="0.2">
      <c r="A38" s="189"/>
      <c r="B38" s="190"/>
      <c r="C38" s="501" t="s">
        <v>286</v>
      </c>
      <c r="D38" s="20"/>
      <c r="E38" s="55">
        <f>E5</f>
        <v>4.6045918367346932</v>
      </c>
      <c r="F38" s="23" t="s">
        <v>2</v>
      </c>
      <c r="G38" s="336">
        <f>G5</f>
        <v>4.6045918367346932</v>
      </c>
      <c r="H38" s="607">
        <f t="shared" ref="H38:H44" si="2">G38-E38</f>
        <v>0</v>
      </c>
      <c r="I38" s="6"/>
      <c r="J38" s="6"/>
    </row>
    <row r="39" spans="1:10" ht="15" customHeight="1" x14ac:dyDescent="0.2">
      <c r="A39" s="189"/>
      <c r="B39" s="753" t="s">
        <v>360</v>
      </c>
      <c r="C39" s="501" t="s">
        <v>318</v>
      </c>
      <c r="D39" s="20"/>
      <c r="E39" s="55">
        <f>'Tuberia Aireación Estanques'!E3</f>
        <v>1.0880796525060432</v>
      </c>
      <c r="F39" s="23" t="s">
        <v>2</v>
      </c>
      <c r="G39" s="336">
        <f>'Tuberia Aireación Estanques'!E3</f>
        <v>1.0880796525060432</v>
      </c>
      <c r="H39" s="607">
        <f t="shared" si="2"/>
        <v>0</v>
      </c>
      <c r="I39" s="6"/>
      <c r="J39" s="6"/>
    </row>
    <row r="40" spans="1:10" ht="15" customHeight="1" x14ac:dyDescent="0.2">
      <c r="A40" s="189"/>
      <c r="B40" s="190"/>
      <c r="C40" s="501" t="s">
        <v>50</v>
      </c>
      <c r="D40" s="20"/>
      <c r="E40" s="204">
        <v>0</v>
      </c>
      <c r="F40" s="23" t="s">
        <v>2</v>
      </c>
      <c r="G40" s="204">
        <v>0</v>
      </c>
      <c r="H40" s="607">
        <f t="shared" si="2"/>
        <v>0</v>
      </c>
      <c r="I40" s="6"/>
      <c r="J40" s="6"/>
    </row>
    <row r="41" spans="1:10" ht="15" customHeight="1" x14ac:dyDescent="0.2">
      <c r="A41" s="189"/>
      <c r="B41" s="190"/>
      <c r="C41" s="182" t="s">
        <v>51</v>
      </c>
      <c r="D41" s="191"/>
      <c r="E41" s="195">
        <f>SUM(E38:E40)</f>
        <v>5.6926714892407366</v>
      </c>
      <c r="F41" s="104" t="s">
        <v>2</v>
      </c>
      <c r="G41" s="55">
        <f>SUM(G38:G40)</f>
        <v>5.6926714892407366</v>
      </c>
      <c r="H41" s="607">
        <f t="shared" si="2"/>
        <v>0</v>
      </c>
      <c r="I41"/>
      <c r="J41" s="14"/>
    </row>
    <row r="42" spans="1:10" ht="15" customHeight="1" x14ac:dyDescent="0.2">
      <c r="A42" s="189"/>
      <c r="B42" s="753" t="s">
        <v>53</v>
      </c>
      <c r="C42" s="674" t="s">
        <v>52</v>
      </c>
      <c r="D42" s="147"/>
      <c r="E42" s="205">
        <v>0.8</v>
      </c>
      <c r="F42" s="148"/>
      <c r="G42" s="661">
        <v>0.8</v>
      </c>
      <c r="H42" s="607">
        <f t="shared" si="2"/>
        <v>0</v>
      </c>
      <c r="I42"/>
      <c r="J42" s="14"/>
    </row>
    <row r="43" spans="1:10" ht="15" customHeight="1" x14ac:dyDescent="0.2">
      <c r="A43" s="189"/>
      <c r="B43" s="190"/>
      <c r="C43" s="675" t="s">
        <v>69</v>
      </c>
      <c r="D43" s="230"/>
      <c r="E43" s="270">
        <f>9.81*0.001*F37*E41/E42</f>
        <v>1.7113788980088758</v>
      </c>
      <c r="F43" s="231" t="s">
        <v>18</v>
      </c>
      <c r="G43" s="336">
        <f>9.81*0.001*G37*G41/G42</f>
        <v>1.7113788980088758</v>
      </c>
      <c r="H43" s="607">
        <f t="shared" si="2"/>
        <v>0</v>
      </c>
      <c r="I43"/>
    </row>
    <row r="44" spans="1:10" ht="15" customHeight="1" x14ac:dyDescent="0.2">
      <c r="A44" s="189"/>
      <c r="B44" s="190"/>
      <c r="C44" s="676"/>
      <c r="D44" s="232"/>
      <c r="E44" s="269">
        <f>E43/0.746</f>
        <v>2.2940735898242304</v>
      </c>
      <c r="F44" s="233" t="s">
        <v>55</v>
      </c>
      <c r="G44" s="336">
        <f>G43/0.746</f>
        <v>2.2940735898242304</v>
      </c>
      <c r="H44" s="607">
        <f t="shared" si="2"/>
        <v>0</v>
      </c>
      <c r="I44"/>
      <c r="J44" s="21"/>
    </row>
    <row r="45" spans="1:10" ht="15" customHeight="1" x14ac:dyDescent="0.2">
      <c r="H45"/>
      <c r="I45"/>
      <c r="J45" s="21"/>
    </row>
    <row r="46" spans="1:10" ht="15" customHeight="1" x14ac:dyDescent="0.25">
      <c r="C46" s="16" t="s">
        <v>164</v>
      </c>
      <c r="D46" s="38"/>
      <c r="E46" s="3"/>
      <c r="F46" s="18"/>
      <c r="G46" s="38"/>
      <c r="H46"/>
      <c r="I46"/>
      <c r="J46" s="21"/>
    </row>
    <row r="47" spans="1:10" ht="15" customHeight="1" x14ac:dyDescent="0.2">
      <c r="B47" s="433" t="s">
        <v>41</v>
      </c>
      <c r="C47" s="225" t="s">
        <v>352</v>
      </c>
      <c r="D47" s="226"/>
      <c r="E47" s="297">
        <f>25.4/2</f>
        <v>12.7</v>
      </c>
      <c r="F47" s="224" t="s">
        <v>9</v>
      </c>
      <c r="G47" s="227"/>
      <c r="H47"/>
      <c r="I47"/>
      <c r="J47" s="21"/>
    </row>
    <row r="48" spans="1:10" ht="15" customHeight="1" x14ac:dyDescent="0.2">
      <c r="B48" s="295"/>
      <c r="C48" s="220" t="s">
        <v>343</v>
      </c>
      <c r="D48" s="202"/>
      <c r="E48" s="296">
        <f>E47^2</f>
        <v>161.29</v>
      </c>
      <c r="F48" s="222" t="s">
        <v>10</v>
      </c>
      <c r="G48" s="227"/>
      <c r="H48"/>
      <c r="I48"/>
      <c r="J48" s="21"/>
    </row>
    <row r="49" spans="2:10" ht="15" customHeight="1" x14ac:dyDescent="0.2">
      <c r="B49" s="101"/>
      <c r="C49" s="364" t="s">
        <v>344</v>
      </c>
      <c r="D49" s="365" t="s">
        <v>513</v>
      </c>
      <c r="E49" s="297">
        <f>25.4/4</f>
        <v>6.35</v>
      </c>
      <c r="F49" s="366" t="s">
        <v>9</v>
      </c>
      <c r="G49" s="227"/>
      <c r="H49"/>
      <c r="I49"/>
      <c r="J49" s="21"/>
    </row>
    <row r="50" spans="2:10" ht="15" customHeight="1" x14ac:dyDescent="0.2">
      <c r="B50" s="101"/>
      <c r="C50" s="220" t="s">
        <v>256</v>
      </c>
      <c r="D50" s="234">
        <f>E50/E48</f>
        <v>0.5</v>
      </c>
      <c r="E50" s="290">
        <f>E49*E47</f>
        <v>80.644999999999996</v>
      </c>
      <c r="F50" s="222" t="s">
        <v>10</v>
      </c>
      <c r="G50" s="227"/>
      <c r="H50"/>
      <c r="I50"/>
      <c r="J50" s="21"/>
    </row>
    <row r="51" spans="2:10" ht="15" customHeight="1" x14ac:dyDescent="0.2">
      <c r="B51" s="101"/>
      <c r="C51" s="369" t="s">
        <v>345</v>
      </c>
      <c r="D51" s="370">
        <f>E51/E48</f>
        <v>0.5</v>
      </c>
      <c r="E51" s="371">
        <f>E48-E50</f>
        <v>80.644999999999996</v>
      </c>
      <c r="F51" s="372" t="s">
        <v>10</v>
      </c>
      <c r="G51" s="115"/>
      <c r="H51"/>
      <c r="I51"/>
      <c r="J51" s="21"/>
    </row>
    <row r="52" spans="2:10" ht="15" customHeight="1" x14ac:dyDescent="0.25">
      <c r="B52" s="101"/>
      <c r="C52" s="364" t="s">
        <v>293</v>
      </c>
      <c r="D52" s="365" t="s">
        <v>353</v>
      </c>
      <c r="E52" s="297">
        <f>25.4/8</f>
        <v>3.1749999999999998</v>
      </c>
      <c r="F52" s="366" t="s">
        <v>9</v>
      </c>
      <c r="H52" s="6"/>
      <c r="I52" s="16"/>
      <c r="J52" s="21"/>
    </row>
    <row r="53" spans="2:10" ht="15" customHeight="1" x14ac:dyDescent="0.2">
      <c r="B53" s="101"/>
      <c r="C53" s="161" t="s">
        <v>46</v>
      </c>
      <c r="D53" s="298" t="s">
        <v>42</v>
      </c>
      <c r="E53" s="290">
        <f>25.4/2</f>
        <v>12.7</v>
      </c>
      <c r="F53" s="299" t="s">
        <v>9</v>
      </c>
      <c r="G53" s="227"/>
      <c r="H53"/>
      <c r="I53"/>
      <c r="J53" s="21"/>
    </row>
    <row r="54" spans="2:10" ht="15" customHeight="1" x14ac:dyDescent="0.2">
      <c r="B54" s="101"/>
      <c r="C54" s="220" t="s">
        <v>47</v>
      </c>
      <c r="D54" s="221"/>
      <c r="E54" s="336">
        <v>2</v>
      </c>
      <c r="F54" s="223" t="s">
        <v>9</v>
      </c>
      <c r="G54" s="227"/>
      <c r="H54"/>
      <c r="I54"/>
      <c r="J54" s="21"/>
    </row>
    <row r="55" spans="2:10" ht="15" customHeight="1" x14ac:dyDescent="0.2">
      <c r="B55" s="101"/>
      <c r="C55" s="220" t="s">
        <v>48</v>
      </c>
      <c r="D55" s="221"/>
      <c r="E55" s="290">
        <f>E54*E53</f>
        <v>25.4</v>
      </c>
      <c r="F55" s="223" t="s">
        <v>10</v>
      </c>
      <c r="G55" s="227"/>
      <c r="H55"/>
      <c r="I55"/>
      <c r="J55" s="21"/>
    </row>
    <row r="56" spans="2:10" ht="15" customHeight="1" x14ac:dyDescent="0.2">
      <c r="B56" s="101"/>
      <c r="C56" s="364" t="s">
        <v>67</v>
      </c>
      <c r="D56" s="367" t="s">
        <v>294</v>
      </c>
      <c r="E56" s="297">
        <v>7.76</v>
      </c>
      <c r="F56" s="368" t="s">
        <v>9</v>
      </c>
      <c r="G56" s="227"/>
      <c r="H56"/>
      <c r="I56"/>
      <c r="J56" s="21"/>
    </row>
    <row r="57" spans="2:10" ht="15" customHeight="1" x14ac:dyDescent="0.2">
      <c r="B57" s="101"/>
      <c r="C57" s="220" t="s">
        <v>295</v>
      </c>
      <c r="D57" s="221"/>
      <c r="E57" s="290">
        <f>2*0.25*3.14*E56^2</f>
        <v>94.541631999999993</v>
      </c>
      <c r="F57" s="223" t="s">
        <v>10</v>
      </c>
      <c r="G57" s="227"/>
      <c r="H57"/>
      <c r="I57"/>
      <c r="J57" s="21"/>
    </row>
    <row r="58" spans="2:10" ht="15" customHeight="1" x14ac:dyDescent="0.2">
      <c r="B58" s="101"/>
      <c r="C58" s="220" t="s">
        <v>296</v>
      </c>
      <c r="D58" s="202"/>
      <c r="E58" s="296">
        <f>E51/E55</f>
        <v>3.1749999999999998</v>
      </c>
      <c r="F58" s="222"/>
      <c r="G58" s="100"/>
      <c r="H58"/>
      <c r="I58"/>
      <c r="J58" s="21"/>
    </row>
    <row r="59" spans="2:10" ht="15" customHeight="1" x14ac:dyDescent="0.25">
      <c r="B59" s="101"/>
      <c r="C59" s="220" t="s">
        <v>342</v>
      </c>
      <c r="D59" s="202"/>
      <c r="E59" s="296">
        <f>E57/E55</f>
        <v>3.722111496062992</v>
      </c>
      <c r="F59" s="222"/>
      <c r="G59" s="38"/>
      <c r="H59"/>
      <c r="I59"/>
      <c r="J59" s="21"/>
    </row>
  </sheetData>
  <mergeCells count="4">
    <mergeCell ref="C2:F2"/>
    <mergeCell ref="C35:F35"/>
    <mergeCell ref="C36:C37"/>
    <mergeCell ref="C1:F1"/>
  </mergeCells>
  <hyperlinks>
    <hyperlink ref="B47" r:id="rId1" xr:uid="{ECB03702-4E15-48C3-8651-CAA1EFBDDD97}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I392"/>
  <sheetViews>
    <sheetView showGridLines="0" tabSelected="1" topLeftCell="C11" zoomScale="75" zoomScaleNormal="75" workbookViewId="0">
      <selection activeCell="J78" sqref="J78"/>
    </sheetView>
  </sheetViews>
  <sheetFormatPr baseColWidth="10" defaultColWidth="9.140625" defaultRowHeight="14.25" x14ac:dyDescent="0.2"/>
  <cols>
    <col min="1" max="1" width="20.140625" customWidth="1"/>
    <col min="2" max="2" width="63.140625" style="39" customWidth="1"/>
    <col min="3" max="3" width="56.42578125" style="3" customWidth="1"/>
    <col min="4" max="4" width="17.7109375" style="3" customWidth="1"/>
    <col min="5" max="5" width="11.5703125" style="4" customWidth="1"/>
    <col min="6" max="6" width="19" style="3" customWidth="1"/>
    <col min="7" max="7" width="13.28515625" style="574" customWidth="1"/>
    <col min="8" max="8" width="15.28515625" style="574" customWidth="1"/>
    <col min="9" max="9" width="9.5703125" style="3" customWidth="1"/>
    <col min="10" max="10" width="41.85546875" style="3" customWidth="1"/>
    <col min="11" max="11" width="32" style="3" customWidth="1"/>
    <col min="12" max="12" width="45.5703125" style="3" customWidth="1"/>
    <col min="13" max="13" width="10.42578125" style="3" customWidth="1"/>
    <col min="14" max="14" width="14.28515625" style="3" customWidth="1"/>
    <col min="15" max="15" width="16.42578125" style="3" customWidth="1"/>
    <col min="16" max="16" width="23" style="3" customWidth="1"/>
    <col min="17" max="17" width="16.5703125" style="3" customWidth="1"/>
    <col min="18" max="21" width="11.42578125" style="3" customWidth="1"/>
    <col min="22" max="22" width="16" style="3" customWidth="1"/>
    <col min="23" max="23" width="13.140625" style="3" customWidth="1"/>
    <col min="24" max="1023" width="11.42578125" style="3" customWidth="1"/>
  </cols>
  <sheetData>
    <row r="1" spans="1:8" ht="15.75" x14ac:dyDescent="0.25">
      <c r="C1" s="267" t="s">
        <v>261</v>
      </c>
      <c r="D1" s="36"/>
      <c r="E1" s="36"/>
      <c r="F1" s="36"/>
    </row>
    <row r="2" spans="1:8" x14ac:dyDescent="0.2">
      <c r="C2" s="739" t="s">
        <v>0</v>
      </c>
      <c r="E2" s="3"/>
    </row>
    <row r="3" spans="1:8" x14ac:dyDescent="0.2">
      <c r="C3" s="740" t="s">
        <v>262</v>
      </c>
      <c r="E3" s="39"/>
    </row>
    <row r="4" spans="1:8" ht="15" x14ac:dyDescent="0.25">
      <c r="B4" s="100"/>
      <c r="C4" s="741" t="s">
        <v>607</v>
      </c>
      <c r="D4" s="1"/>
      <c r="E4" s="39"/>
      <c r="F4" s="39"/>
      <c r="G4" s="605"/>
      <c r="H4" s="575"/>
    </row>
    <row r="5" spans="1:8" ht="15" x14ac:dyDescent="0.25">
      <c r="B5" s="100"/>
      <c r="C5" s="742" t="s">
        <v>608</v>
      </c>
      <c r="D5" s="184"/>
      <c r="E5" s="39"/>
      <c r="G5" s="605"/>
      <c r="H5" s="575"/>
    </row>
    <row r="6" spans="1:8" ht="15" x14ac:dyDescent="0.25">
      <c r="B6" s="100"/>
      <c r="C6" s="743" t="s">
        <v>609</v>
      </c>
      <c r="D6" s="64"/>
      <c r="E6" s="39"/>
      <c r="F6" s="39"/>
      <c r="G6" s="605"/>
      <c r="H6" s="575"/>
    </row>
    <row r="7" spans="1:8" ht="15" x14ac:dyDescent="0.25">
      <c r="B7" s="100"/>
      <c r="C7" s="744" t="s">
        <v>1</v>
      </c>
      <c r="E7" s="39"/>
      <c r="F7" s="39"/>
      <c r="G7" s="605"/>
      <c r="H7" s="575"/>
    </row>
    <row r="8" spans="1:8" ht="15" x14ac:dyDescent="0.25">
      <c r="B8" s="100"/>
      <c r="C8" s="745" t="s">
        <v>263</v>
      </c>
      <c r="E8" s="39"/>
      <c r="F8" s="39"/>
      <c r="G8" s="605"/>
      <c r="H8" s="575"/>
    </row>
    <row r="9" spans="1:8" ht="15" x14ac:dyDescent="0.25">
      <c r="B9" s="100"/>
      <c r="C9" s="746" t="s">
        <v>610</v>
      </c>
      <c r="D9" s="1"/>
      <c r="E9" s="39"/>
      <c r="F9" s="39"/>
      <c r="G9" s="605"/>
      <c r="H9" s="575"/>
    </row>
    <row r="10" spans="1:8" ht="31.5" x14ac:dyDescent="0.25">
      <c r="A10" s="392" t="s">
        <v>516</v>
      </c>
      <c r="B10" s="752" t="s">
        <v>121</v>
      </c>
      <c r="C10" s="736"/>
      <c r="D10" s="7"/>
      <c r="E10" s="737"/>
      <c r="F10" s="738"/>
      <c r="G10" s="392" t="s">
        <v>264</v>
      </c>
      <c r="H10" s="393" t="s">
        <v>265</v>
      </c>
    </row>
    <row r="11" spans="1:8" ht="24" customHeight="1" x14ac:dyDescent="0.2">
      <c r="A11" s="189"/>
      <c r="C11" s="862" t="s">
        <v>393</v>
      </c>
      <c r="D11" s="863"/>
      <c r="E11" s="863"/>
      <c r="F11" s="871"/>
      <c r="G11" s="748"/>
      <c r="H11" s="749"/>
    </row>
    <row r="12" spans="1:8" ht="15" x14ac:dyDescent="0.2">
      <c r="A12" s="189"/>
      <c r="B12" s="99"/>
      <c r="C12" s="511" t="s">
        <v>592</v>
      </c>
      <c r="D12" s="24"/>
      <c r="E12" s="47"/>
      <c r="F12" s="22"/>
      <c r="G12" s="750"/>
      <c r="H12" s="751"/>
    </row>
    <row r="13" spans="1:8" x14ac:dyDescent="0.2">
      <c r="A13" s="189"/>
      <c r="B13" s="99"/>
      <c r="C13" s="587" t="s">
        <v>593</v>
      </c>
      <c r="D13" s="237"/>
      <c r="E13" s="239">
        <v>2</v>
      </c>
      <c r="F13" s="237" t="s">
        <v>7</v>
      </c>
      <c r="G13" s="618">
        <v>2</v>
      </c>
      <c r="H13" s="607">
        <f t="shared" ref="H13" si="0">G13-E13</f>
        <v>0</v>
      </c>
    </row>
    <row r="14" spans="1:8" ht="15" customHeight="1" x14ac:dyDescent="0.2">
      <c r="A14" s="189"/>
      <c r="B14" s="753" t="s">
        <v>433</v>
      </c>
      <c r="C14" s="586" t="s">
        <v>437</v>
      </c>
      <c r="D14" s="49"/>
      <c r="E14" s="33">
        <v>9</v>
      </c>
      <c r="F14" s="552" t="s">
        <v>2</v>
      </c>
      <c r="G14" s="618">
        <v>9</v>
      </c>
      <c r="H14" s="607">
        <f t="shared" ref="H14:H52" si="1">G14-E14</f>
        <v>0</v>
      </c>
    </row>
    <row r="15" spans="1:8" ht="15" customHeight="1" x14ac:dyDescent="0.2">
      <c r="A15" s="189"/>
      <c r="B15" s="20"/>
      <c r="C15" s="488" t="s">
        <v>436</v>
      </c>
      <c r="D15" s="240"/>
      <c r="E15" s="241">
        <f>2*(8*TAN(3.143/8)*(E14/2)^2)</f>
        <v>134.27197583544981</v>
      </c>
      <c r="F15" s="553" t="s">
        <v>3</v>
      </c>
      <c r="G15" s="618">
        <f>2*(8*TAN(3.143/8)*(G14/2)^2)</f>
        <v>134.27197583544981</v>
      </c>
      <c r="H15" s="607">
        <f t="shared" si="1"/>
        <v>0</v>
      </c>
    </row>
    <row r="16" spans="1:8" ht="15" customHeight="1" x14ac:dyDescent="0.2">
      <c r="A16" s="189"/>
      <c r="B16" s="753" t="s">
        <v>433</v>
      </c>
      <c r="C16" s="587" t="s">
        <v>369</v>
      </c>
      <c r="D16" s="237"/>
      <c r="E16" s="238">
        <v>1.2</v>
      </c>
      <c r="F16" s="237" t="s">
        <v>2</v>
      </c>
      <c r="G16" s="619">
        <v>1.2</v>
      </c>
      <c r="H16" s="607">
        <f t="shared" si="1"/>
        <v>0</v>
      </c>
    </row>
    <row r="17" spans="1:15" ht="15" customHeight="1" x14ac:dyDescent="0.2">
      <c r="A17" s="189"/>
      <c r="B17" s="20"/>
      <c r="C17" s="488" t="s">
        <v>224</v>
      </c>
      <c r="D17" s="240"/>
      <c r="E17" s="241">
        <f>E15*E16</f>
        <v>161.12637100253977</v>
      </c>
      <c r="F17" s="553" t="s">
        <v>23</v>
      </c>
      <c r="G17" s="618">
        <f>G15*G16</f>
        <v>161.12637100253977</v>
      </c>
      <c r="H17" s="607">
        <f t="shared" si="1"/>
        <v>0</v>
      </c>
    </row>
    <row r="18" spans="1:15" ht="15" customHeight="1" x14ac:dyDescent="0.2">
      <c r="A18" s="189"/>
      <c r="B18" s="254"/>
      <c r="C18" s="586" t="s">
        <v>76</v>
      </c>
      <c r="D18" s="49"/>
      <c r="E18" s="33">
        <v>6</v>
      </c>
      <c r="F18" s="552" t="s">
        <v>77</v>
      </c>
      <c r="G18" s="618">
        <v>6</v>
      </c>
      <c r="H18" s="607">
        <f t="shared" si="1"/>
        <v>0</v>
      </c>
      <c r="O18" s="50"/>
    </row>
    <row r="19" spans="1:15" ht="15" customHeight="1" x14ac:dyDescent="0.2">
      <c r="A19" s="189"/>
      <c r="B19" s="20"/>
      <c r="C19" s="587" t="s">
        <v>162</v>
      </c>
      <c r="D19" s="237"/>
      <c r="E19" s="239">
        <v>2</v>
      </c>
      <c r="F19" s="237" t="s">
        <v>77</v>
      </c>
      <c r="G19" s="618">
        <v>2</v>
      </c>
      <c r="H19" s="607">
        <f t="shared" si="1"/>
        <v>0</v>
      </c>
      <c r="O19" s="50"/>
    </row>
    <row r="20" spans="1:15" ht="15" customHeight="1" x14ac:dyDescent="0.2">
      <c r="A20" s="189"/>
      <c r="B20" s="20"/>
      <c r="C20" s="587" t="s">
        <v>427</v>
      </c>
      <c r="D20" s="237"/>
      <c r="E20" s="239">
        <f>12/E19</f>
        <v>6</v>
      </c>
      <c r="F20" s="237" t="s">
        <v>428</v>
      </c>
      <c r="G20" s="618">
        <f>12/G19</f>
        <v>6</v>
      </c>
      <c r="H20" s="607">
        <f t="shared" si="1"/>
        <v>0</v>
      </c>
      <c r="O20" s="50"/>
    </row>
    <row r="21" spans="1:15" ht="15" customHeight="1" x14ac:dyDescent="0.2">
      <c r="A21" s="189"/>
      <c r="B21" s="190" t="s">
        <v>362</v>
      </c>
      <c r="C21" s="586" t="s">
        <v>143</v>
      </c>
      <c r="D21" s="49"/>
      <c r="E21" s="33">
        <v>10000</v>
      </c>
      <c r="F21" s="552" t="s">
        <v>7</v>
      </c>
      <c r="G21" s="618">
        <v>10000</v>
      </c>
      <c r="H21" s="607">
        <f t="shared" si="1"/>
        <v>0</v>
      </c>
      <c r="O21" s="50"/>
    </row>
    <row r="22" spans="1:15" ht="15" customHeight="1" x14ac:dyDescent="0.2">
      <c r="A22" s="189"/>
      <c r="B22" s="106" t="s">
        <v>363</v>
      </c>
      <c r="C22" s="498" t="s">
        <v>547</v>
      </c>
      <c r="D22" s="52"/>
      <c r="E22" s="56">
        <f>'Suministro de Alimento y O2'!F12</f>
        <v>9122.85</v>
      </c>
      <c r="F22" s="32" t="s">
        <v>7</v>
      </c>
      <c r="G22" s="618">
        <f>'Suministro de Alimento y O2'!F12</f>
        <v>9122.85</v>
      </c>
      <c r="H22" s="607">
        <f t="shared" si="1"/>
        <v>0</v>
      </c>
      <c r="O22" s="50"/>
    </row>
    <row r="23" spans="1:15" ht="15" customHeight="1" x14ac:dyDescent="0.2">
      <c r="A23" s="189"/>
      <c r="B23" s="753" t="s">
        <v>433</v>
      </c>
      <c r="C23" s="587" t="s">
        <v>85</v>
      </c>
      <c r="D23" s="237"/>
      <c r="E23" s="238">
        <f>1.2*1*1</f>
        <v>1.2</v>
      </c>
      <c r="F23" s="237" t="s">
        <v>23</v>
      </c>
      <c r="G23" s="619">
        <f>1.2*1*1</f>
        <v>1.2</v>
      </c>
      <c r="H23" s="607">
        <f t="shared" si="1"/>
        <v>0</v>
      </c>
    </row>
    <row r="24" spans="1:15" ht="15" customHeight="1" x14ac:dyDescent="0.2">
      <c r="A24" s="189"/>
      <c r="B24" s="190" t="s">
        <v>362</v>
      </c>
      <c r="C24" s="587" t="s">
        <v>83</v>
      </c>
      <c r="D24" s="237"/>
      <c r="E24" s="239">
        <v>20</v>
      </c>
      <c r="F24" s="237" t="s">
        <v>7</v>
      </c>
      <c r="G24" s="618">
        <v>20</v>
      </c>
      <c r="H24" s="607">
        <f t="shared" si="1"/>
        <v>0</v>
      </c>
    </row>
    <row r="25" spans="1:15" ht="15" customHeight="1" x14ac:dyDescent="0.2">
      <c r="A25" s="189"/>
      <c r="B25" s="754"/>
      <c r="C25" s="488" t="s">
        <v>84</v>
      </c>
      <c r="D25" s="240"/>
      <c r="E25" s="241">
        <f>E21/E24</f>
        <v>500</v>
      </c>
      <c r="F25" s="553" t="s">
        <v>7</v>
      </c>
      <c r="G25" s="618">
        <f>G21/G24</f>
        <v>500</v>
      </c>
      <c r="H25" s="607">
        <f t="shared" si="1"/>
        <v>0</v>
      </c>
    </row>
    <row r="26" spans="1:15" ht="15" customHeight="1" x14ac:dyDescent="0.2">
      <c r="A26" s="189"/>
      <c r="B26" s="754"/>
      <c r="C26" s="588" t="s">
        <v>179</v>
      </c>
      <c r="D26" s="242"/>
      <c r="E26" s="243">
        <v>2</v>
      </c>
      <c r="F26" s="242" t="s">
        <v>7</v>
      </c>
      <c r="G26" s="618">
        <v>2</v>
      </c>
      <c r="H26" s="607">
        <f t="shared" si="1"/>
        <v>0</v>
      </c>
    </row>
    <row r="27" spans="1:15" ht="15" customHeight="1" x14ac:dyDescent="0.2">
      <c r="A27" s="189"/>
      <c r="B27" s="190" t="s">
        <v>362</v>
      </c>
      <c r="C27" s="487" t="s">
        <v>471</v>
      </c>
      <c r="D27" s="246"/>
      <c r="E27" s="247">
        <f>E25/E26</f>
        <v>250</v>
      </c>
      <c r="F27" s="554" t="s">
        <v>7</v>
      </c>
      <c r="G27" s="620">
        <f>G25/G26</f>
        <v>250</v>
      </c>
      <c r="H27" s="607">
        <f t="shared" si="1"/>
        <v>0</v>
      </c>
    </row>
    <row r="28" spans="1:15" ht="15" customHeight="1" x14ac:dyDescent="0.2">
      <c r="A28" s="189"/>
      <c r="B28" s="754"/>
      <c r="C28" s="589" t="s">
        <v>300</v>
      </c>
      <c r="D28" s="24"/>
      <c r="E28" s="47"/>
      <c r="F28" s="48"/>
      <c r="G28" s="609"/>
      <c r="H28" s="584"/>
    </row>
    <row r="29" spans="1:15" ht="15" customHeight="1" x14ac:dyDescent="0.2">
      <c r="A29" s="189"/>
      <c r="B29" s="106"/>
      <c r="C29" s="590" t="s">
        <v>155</v>
      </c>
      <c r="D29" s="248"/>
      <c r="E29" s="387">
        <f>'Suministro de Alimento y O2'!J31</f>
        <v>450</v>
      </c>
      <c r="F29" s="248" t="s">
        <v>88</v>
      </c>
      <c r="G29" s="621">
        <f>'Suministro de Alimento y O2'!J31</f>
        <v>450</v>
      </c>
      <c r="H29" s="607">
        <f t="shared" si="1"/>
        <v>0</v>
      </c>
    </row>
    <row r="30" spans="1:15" ht="15" customHeight="1" x14ac:dyDescent="0.2">
      <c r="A30" s="189"/>
      <c r="B30" s="227" t="s">
        <v>371</v>
      </c>
      <c r="C30" s="480" t="s">
        <v>370</v>
      </c>
      <c r="D30" s="380"/>
      <c r="E30" s="774" t="s">
        <v>372</v>
      </c>
      <c r="F30" s="555" t="s">
        <v>367</v>
      </c>
      <c r="G30" s="623" t="s">
        <v>372</v>
      </c>
      <c r="H30" s="607"/>
    </row>
    <row r="31" spans="1:15" ht="15" customHeight="1" x14ac:dyDescent="0.2">
      <c r="A31" s="189"/>
      <c r="B31" s="106" t="s">
        <v>363</v>
      </c>
      <c r="C31" s="481" t="s">
        <v>373</v>
      </c>
      <c r="D31" s="180" t="str">
        <f>IF(E31&lt;100,"cumple","no cumple")</f>
        <v>cumple</v>
      </c>
      <c r="E31" s="164">
        <f>'Suministro de Alimento y O2'!F13</f>
        <v>56.619223428399565</v>
      </c>
      <c r="F31" s="556" t="s">
        <v>367</v>
      </c>
      <c r="G31" s="624">
        <f>'Suministro de Alimento y O2'!F13</f>
        <v>56.619223428399565</v>
      </c>
      <c r="H31" s="607">
        <f t="shared" si="1"/>
        <v>0</v>
      </c>
    </row>
    <row r="32" spans="1:15" ht="15" customHeight="1" x14ac:dyDescent="0.2">
      <c r="A32" s="189"/>
      <c r="B32" s="227" t="s">
        <v>371</v>
      </c>
      <c r="C32" s="480" t="s">
        <v>368</v>
      </c>
      <c r="D32" s="380"/>
      <c r="E32" s="381">
        <v>600</v>
      </c>
      <c r="F32" s="555" t="s">
        <v>367</v>
      </c>
      <c r="G32" s="624">
        <v>600</v>
      </c>
      <c r="H32" s="607">
        <f t="shared" si="1"/>
        <v>0</v>
      </c>
    </row>
    <row r="33" spans="1:8" ht="15" customHeight="1" x14ac:dyDescent="0.2">
      <c r="A33" s="189"/>
      <c r="B33" s="106" t="s">
        <v>363</v>
      </c>
      <c r="C33" s="482" t="s">
        <v>374</v>
      </c>
      <c r="D33" s="180" t="str">
        <f>IF(E33&lt;E32,"cumple","no cumple")</f>
        <v>cumple</v>
      </c>
      <c r="E33" s="164">
        <f>'Suministro de Alimento y O2'!D13</f>
        <v>395.83333333333331</v>
      </c>
      <c r="F33" s="557" t="s">
        <v>367</v>
      </c>
      <c r="G33" s="624">
        <f>'Suministro de Alimento y O2'!D13</f>
        <v>395.83333333333331</v>
      </c>
      <c r="H33" s="607">
        <f t="shared" si="1"/>
        <v>0</v>
      </c>
    </row>
    <row r="34" spans="1:8" ht="15" customHeight="1" x14ac:dyDescent="0.2">
      <c r="A34" s="189"/>
      <c r="B34" s="106"/>
      <c r="C34" s="482" t="s">
        <v>75</v>
      </c>
      <c r="D34" s="126"/>
      <c r="E34" s="127">
        <f>1000*E17/(3600*'Parrilla de Aireación'!F37)</f>
        <v>1.8256313928851298</v>
      </c>
      <c r="F34" s="557" t="s">
        <v>70</v>
      </c>
      <c r="G34" s="622">
        <f>1000*G17/(3600*'Parrilla de Aireación'!F37)</f>
        <v>1.8256313928851298</v>
      </c>
      <c r="H34" s="607">
        <f t="shared" si="1"/>
        <v>0</v>
      </c>
    </row>
    <row r="35" spans="1:8" ht="15" customHeight="1" x14ac:dyDescent="0.2">
      <c r="A35" s="189"/>
      <c r="B35" s="106"/>
      <c r="C35" s="511" t="s">
        <v>301</v>
      </c>
      <c r="D35"/>
      <c r="E35"/>
      <c r="F35"/>
      <c r="G35" s="609"/>
      <c r="H35" s="584"/>
    </row>
    <row r="36" spans="1:8" ht="15" customHeight="1" x14ac:dyDescent="0.2">
      <c r="A36" s="189"/>
      <c r="B36" s="753" t="s">
        <v>304</v>
      </c>
      <c r="C36" s="586" t="s">
        <v>441</v>
      </c>
      <c r="D36" s="49"/>
      <c r="E36" s="33">
        <f>'Parrilla de Aireación'!E11</f>
        <v>4</v>
      </c>
      <c r="F36" s="552" t="s">
        <v>20</v>
      </c>
      <c r="G36" s="618">
        <f>'Parrilla de Aireación'!E11</f>
        <v>4</v>
      </c>
      <c r="H36" s="607">
        <f t="shared" si="1"/>
        <v>0</v>
      </c>
    </row>
    <row r="37" spans="1:8" ht="15" customHeight="1" x14ac:dyDescent="0.2">
      <c r="A37" s="189"/>
      <c r="B37" s="753"/>
      <c r="C37" s="587" t="s">
        <v>348</v>
      </c>
      <c r="D37" s="237"/>
      <c r="E37" s="239">
        <v>2</v>
      </c>
      <c r="F37" s="237" t="s">
        <v>7</v>
      </c>
      <c r="G37" s="618">
        <v>2</v>
      </c>
      <c r="H37" s="607">
        <f t="shared" si="1"/>
        <v>0</v>
      </c>
    </row>
    <row r="38" spans="1:8" ht="15" customHeight="1" x14ac:dyDescent="0.2">
      <c r="A38" s="189"/>
      <c r="B38" s="753" t="s">
        <v>304</v>
      </c>
      <c r="C38" s="579" t="s">
        <v>346</v>
      </c>
      <c r="D38" s="313"/>
      <c r="E38" s="314">
        <f>'Parrilla de Aireación'!E34</f>
        <v>0.46628370930246421</v>
      </c>
      <c r="F38" s="312" t="s">
        <v>163</v>
      </c>
      <c r="G38" s="625">
        <f>'Parrilla de Aireación'!E34</f>
        <v>0.46628370930246421</v>
      </c>
      <c r="H38" s="607">
        <f t="shared" si="1"/>
        <v>0</v>
      </c>
    </row>
    <row r="39" spans="1:8" ht="15" customHeight="1" x14ac:dyDescent="0.2">
      <c r="A39" s="189"/>
      <c r="B39" s="753"/>
      <c r="C39" s="483" t="s">
        <v>349</v>
      </c>
      <c r="D39" s="179"/>
      <c r="E39" s="214">
        <f>E37*E38</f>
        <v>0.93256741860492842</v>
      </c>
      <c r="F39" s="558" t="s">
        <v>163</v>
      </c>
      <c r="G39" s="704">
        <f>G37*G38</f>
        <v>0.93256741860492842</v>
      </c>
      <c r="H39" s="607">
        <f t="shared" si="1"/>
        <v>0</v>
      </c>
    </row>
    <row r="40" spans="1:8" ht="15" customHeight="1" x14ac:dyDescent="0.2">
      <c r="A40" s="189"/>
      <c r="B40" s="753"/>
      <c r="C40" s="484"/>
      <c r="D40" s="180" t="str">
        <f>IF(E40&gt;E41,"cumple","no cumple")</f>
        <v>cumple</v>
      </c>
      <c r="E40" s="300">
        <f>24*E39</f>
        <v>22.381618046518284</v>
      </c>
      <c r="F40" s="559" t="s">
        <v>22</v>
      </c>
      <c r="G40" s="626">
        <f>24*G39</f>
        <v>22.381618046518284</v>
      </c>
      <c r="H40" s="607">
        <f t="shared" si="1"/>
        <v>0</v>
      </c>
    </row>
    <row r="41" spans="1:8" ht="15" customHeight="1" x14ac:dyDescent="0.2">
      <c r="A41" s="189"/>
      <c r="B41" s="106" t="s">
        <v>363</v>
      </c>
      <c r="C41" s="591" t="s">
        <v>192</v>
      </c>
      <c r="D41" s="145"/>
      <c r="E41" s="128">
        <f>'Suministro de Alimento y O2'!R31</f>
        <v>18.34827607805655</v>
      </c>
      <c r="F41" s="560" t="s">
        <v>22</v>
      </c>
      <c r="G41" s="619">
        <f>'Suministro de Alimento y O2'!R31</f>
        <v>18.34827607805655</v>
      </c>
      <c r="H41" s="607">
        <f t="shared" si="1"/>
        <v>0</v>
      </c>
    </row>
    <row r="42" spans="1:8" ht="15" customHeight="1" x14ac:dyDescent="0.2">
      <c r="A42" s="189"/>
      <c r="B42" s="20"/>
      <c r="C42" s="591" t="s">
        <v>292</v>
      </c>
      <c r="D42" s="145"/>
      <c r="E42" s="128">
        <f>E40/E41</f>
        <v>1.2198213037183026</v>
      </c>
      <c r="F42" s="560"/>
      <c r="G42" s="619">
        <f>G40/G41</f>
        <v>1.2198213037183026</v>
      </c>
      <c r="H42" s="607">
        <f t="shared" si="1"/>
        <v>0</v>
      </c>
    </row>
    <row r="43" spans="1:8" ht="15" customHeight="1" x14ac:dyDescent="0.2">
      <c r="A43" s="189"/>
      <c r="B43" s="106" t="s">
        <v>397</v>
      </c>
      <c r="C43" s="485" t="s">
        <v>242</v>
      </c>
      <c r="D43" s="185"/>
      <c r="E43" s="253" t="s">
        <v>243</v>
      </c>
      <c r="F43" s="185" t="s">
        <v>93</v>
      </c>
      <c r="G43" s="627" t="s">
        <v>243</v>
      </c>
      <c r="H43" s="607"/>
    </row>
    <row r="44" spans="1:8" ht="15" customHeight="1" x14ac:dyDescent="0.2">
      <c r="A44" s="189"/>
      <c r="B44" s="753"/>
      <c r="C44" s="591" t="s">
        <v>241</v>
      </c>
      <c r="D44" s="170" t="str">
        <f>IF(E44&gt;10,"no cumple","cumple")</f>
        <v>cumple</v>
      </c>
      <c r="E44" s="128">
        <f>2*1000*'Parrilla de Aireación'!E17/E17</f>
        <v>6.8729716217645818</v>
      </c>
      <c r="F44" s="560" t="s">
        <v>93</v>
      </c>
      <c r="G44" s="619">
        <f>2*1000*'Parrilla de Aireación'!E17/G17</f>
        <v>6.8729716217645818</v>
      </c>
      <c r="H44" s="607">
        <f t="shared" si="1"/>
        <v>0</v>
      </c>
    </row>
    <row r="45" spans="1:8" ht="15" customHeight="1" x14ac:dyDescent="0.2">
      <c r="A45" s="189"/>
      <c r="B45" s="106" t="s">
        <v>363</v>
      </c>
      <c r="C45" s="482" t="s">
        <v>335</v>
      </c>
      <c r="D45" s="126"/>
      <c r="E45" s="293">
        <f>2*'Suministro de Alimento y O2'!S34*'Parrilla de Aireación'!E43*24*365</f>
        <v>12129.530313044515</v>
      </c>
      <c r="F45" s="126" t="s">
        <v>336</v>
      </c>
      <c r="G45" s="618">
        <f>2*'Suministro de Alimento y O2'!S34*'Parrilla de Aireación'!E43*24*365</f>
        <v>12129.530313044515</v>
      </c>
      <c r="H45" s="607">
        <f t="shared" si="1"/>
        <v>0</v>
      </c>
    </row>
    <row r="46" spans="1:8" ht="15" customHeight="1" x14ac:dyDescent="0.2">
      <c r="A46" s="189"/>
      <c r="B46" s="254"/>
      <c r="C46" s="511" t="s">
        <v>594</v>
      </c>
      <c r="F46" s="9"/>
      <c r="G46" s="628"/>
      <c r="H46" s="581"/>
    </row>
    <row r="47" spans="1:8" ht="15" customHeight="1" x14ac:dyDescent="0.2">
      <c r="A47" s="189"/>
      <c r="B47" s="106" t="s">
        <v>363</v>
      </c>
      <c r="C47" s="592" t="s">
        <v>337</v>
      </c>
      <c r="D47" s="244"/>
      <c r="E47" s="245">
        <f>E45</f>
        <v>12129.530313044515</v>
      </c>
      <c r="F47" s="561" t="s">
        <v>91</v>
      </c>
      <c r="G47" s="620">
        <f>G45</f>
        <v>12129.530313044515</v>
      </c>
      <c r="H47" s="607">
        <f t="shared" si="1"/>
        <v>0</v>
      </c>
    </row>
    <row r="48" spans="1:8" ht="15" customHeight="1" x14ac:dyDescent="0.2">
      <c r="A48" s="189"/>
      <c r="B48" s="254"/>
      <c r="C48" s="592" t="s">
        <v>341</v>
      </c>
      <c r="D48" s="244"/>
      <c r="E48" s="245">
        <f>E142</f>
        <v>2204.0640786785625</v>
      </c>
      <c r="F48" s="561" t="s">
        <v>91</v>
      </c>
      <c r="G48" s="620">
        <f>G142</f>
        <v>2204.0640786782865</v>
      </c>
      <c r="H48" s="607">
        <f t="shared" si="1"/>
        <v>-2.7603164198808372E-10</v>
      </c>
    </row>
    <row r="49" spans="1:15" ht="15" customHeight="1" x14ac:dyDescent="0.2">
      <c r="A49" s="189"/>
      <c r="B49" s="254"/>
      <c r="C49" s="592" t="s">
        <v>339</v>
      </c>
      <c r="D49" s="244"/>
      <c r="E49" s="245">
        <f>E192</f>
        <v>10079.717277942174</v>
      </c>
      <c r="F49" s="561" t="s">
        <v>91</v>
      </c>
      <c r="G49" s="620">
        <f>G192</f>
        <v>10079.717277942174</v>
      </c>
      <c r="H49" s="607">
        <f t="shared" si="1"/>
        <v>0</v>
      </c>
    </row>
    <row r="50" spans="1:15" ht="15" customHeight="1" x14ac:dyDescent="0.2">
      <c r="A50" s="189"/>
      <c r="B50" s="254"/>
      <c r="C50" s="592" t="s">
        <v>236</v>
      </c>
      <c r="D50" s="244"/>
      <c r="E50" s="245">
        <f>E110</f>
        <v>1596.9309811003334</v>
      </c>
      <c r="F50" s="561" t="s">
        <v>91</v>
      </c>
      <c r="G50" s="620">
        <f>G110</f>
        <v>1596.9309811003334</v>
      </c>
      <c r="H50" s="607">
        <f t="shared" si="1"/>
        <v>0</v>
      </c>
    </row>
    <row r="51" spans="1:15" ht="15" customHeight="1" x14ac:dyDescent="0.2">
      <c r="A51" s="189"/>
      <c r="B51" s="254"/>
      <c r="C51" s="592" t="s">
        <v>237</v>
      </c>
      <c r="D51" s="244"/>
      <c r="E51" s="245">
        <f>E114</f>
        <v>479.95609345777251</v>
      </c>
      <c r="F51" s="561" t="s">
        <v>91</v>
      </c>
      <c r="G51" s="620">
        <f>G114</f>
        <v>479.95609345777251</v>
      </c>
      <c r="H51" s="607">
        <f t="shared" si="1"/>
        <v>0</v>
      </c>
    </row>
    <row r="52" spans="1:15" ht="15.75" customHeight="1" x14ac:dyDescent="0.2">
      <c r="A52" s="189"/>
      <c r="B52" s="254"/>
      <c r="C52" s="498" t="s">
        <v>92</v>
      </c>
      <c r="D52" s="52"/>
      <c r="E52" s="56">
        <f>SUM(E47:E51)</f>
        <v>26490.198744223355</v>
      </c>
      <c r="F52" s="32" t="s">
        <v>82</v>
      </c>
      <c r="G52" s="618">
        <f>SUM(G47:G51)</f>
        <v>26490.198744223078</v>
      </c>
      <c r="H52" s="607">
        <f t="shared" si="1"/>
        <v>-2.7648638933897018E-10</v>
      </c>
    </row>
    <row r="53" spans="1:15" ht="15" customHeight="1" x14ac:dyDescent="0.2">
      <c r="A53" s="189"/>
      <c r="B53" s="99"/>
      <c r="C53" s="589" t="s">
        <v>591</v>
      </c>
      <c r="F53" s="9"/>
      <c r="G53" s="628"/>
      <c r="H53" s="581"/>
      <c r="M53" s="39"/>
    </row>
    <row r="54" spans="1:15" ht="15" customHeight="1" x14ac:dyDescent="0.2">
      <c r="A54" s="189"/>
      <c r="B54" s="755" t="s">
        <v>470</v>
      </c>
      <c r="C54" s="485" t="s">
        <v>133</v>
      </c>
      <c r="D54" s="185"/>
      <c r="E54" s="251">
        <v>0.16</v>
      </c>
      <c r="F54" s="185"/>
      <c r="G54" s="629">
        <v>0.16</v>
      </c>
      <c r="H54" s="607">
        <f t="shared" ref="H54:H80" si="2">G54-E54</f>
        <v>0</v>
      </c>
      <c r="M54" s="39"/>
    </row>
    <row r="55" spans="1:15" ht="15" customHeight="1" x14ac:dyDescent="0.2">
      <c r="A55" s="189"/>
      <c r="B55" s="190" t="s">
        <v>362</v>
      </c>
      <c r="C55" s="587" t="s">
        <v>95</v>
      </c>
      <c r="D55" s="237"/>
      <c r="E55" s="820">
        <v>1</v>
      </c>
      <c r="F55" s="237"/>
      <c r="G55" s="630">
        <v>1</v>
      </c>
      <c r="H55" s="607">
        <f t="shared" si="2"/>
        <v>0</v>
      </c>
      <c r="K55" s="58"/>
      <c r="O55" s="50"/>
    </row>
    <row r="56" spans="1:15" ht="15" customHeight="1" x14ac:dyDescent="0.2">
      <c r="A56" s="189"/>
      <c r="B56" s="812" t="s">
        <v>546</v>
      </c>
      <c r="C56" s="485" t="s">
        <v>96</v>
      </c>
      <c r="D56" s="185"/>
      <c r="E56" s="251">
        <v>0.46</v>
      </c>
      <c r="F56" s="185"/>
      <c r="G56" s="629">
        <v>0.46</v>
      </c>
      <c r="H56" s="607">
        <f t="shared" si="2"/>
        <v>0</v>
      </c>
      <c r="O56" s="50"/>
    </row>
    <row r="57" spans="1:15" ht="15" customHeight="1" x14ac:dyDescent="0.2">
      <c r="A57" s="189"/>
      <c r="B57" s="106" t="s">
        <v>306</v>
      </c>
      <c r="C57" s="486" t="s">
        <v>80</v>
      </c>
      <c r="D57" s="250" t="s">
        <v>515</v>
      </c>
      <c r="E57" s="252">
        <v>4.71</v>
      </c>
      <c r="F57" s="185" t="s">
        <v>81</v>
      </c>
      <c r="G57" s="631">
        <v>4.71</v>
      </c>
      <c r="H57" s="607">
        <f t="shared" si="2"/>
        <v>0</v>
      </c>
      <c r="O57" s="50"/>
    </row>
    <row r="58" spans="1:15" ht="15" customHeight="1" x14ac:dyDescent="0.2">
      <c r="A58" s="189"/>
      <c r="B58" s="190" t="s">
        <v>526</v>
      </c>
      <c r="C58" s="485" t="s">
        <v>429</v>
      </c>
      <c r="D58" s="185"/>
      <c r="E58" s="251">
        <v>0.5</v>
      </c>
      <c r="F58" s="185"/>
      <c r="G58" s="629">
        <v>0.5</v>
      </c>
      <c r="H58" s="607">
        <f t="shared" si="2"/>
        <v>0</v>
      </c>
      <c r="K58" s="59"/>
      <c r="L58" s="59"/>
      <c r="M58" s="59"/>
      <c r="O58" s="50"/>
    </row>
    <row r="59" spans="1:15" ht="15" customHeight="1" x14ac:dyDescent="0.2">
      <c r="A59" s="189"/>
      <c r="B59" s="875" t="s">
        <v>556</v>
      </c>
      <c r="C59" s="485" t="s">
        <v>550</v>
      </c>
      <c r="D59" s="185"/>
      <c r="E59" s="811">
        <v>8.9999999999999993E-3</v>
      </c>
      <c r="F59" s="185"/>
      <c r="G59" s="632">
        <v>8.9999999999999993E-3</v>
      </c>
      <c r="H59" s="607">
        <f t="shared" si="2"/>
        <v>0</v>
      </c>
      <c r="K59" s="59"/>
      <c r="L59" s="59"/>
      <c r="M59" s="59"/>
      <c r="O59" s="50"/>
    </row>
    <row r="60" spans="1:15" ht="15" customHeight="1" x14ac:dyDescent="0.2">
      <c r="A60" s="189"/>
      <c r="B60" s="876"/>
      <c r="C60" s="485" t="s">
        <v>551</v>
      </c>
      <c r="D60" s="185"/>
      <c r="E60" s="811">
        <v>0.01</v>
      </c>
      <c r="F60" s="185"/>
      <c r="G60" s="813">
        <v>0.01</v>
      </c>
      <c r="H60" s="607">
        <f t="shared" si="2"/>
        <v>0</v>
      </c>
      <c r="K60" s="59"/>
      <c r="L60" s="59"/>
      <c r="M60" s="59"/>
      <c r="O60" s="50"/>
    </row>
    <row r="61" spans="1:15" ht="15" customHeight="1" x14ac:dyDescent="0.2">
      <c r="A61" s="189"/>
      <c r="B61" s="817" t="s">
        <v>549</v>
      </c>
      <c r="C61" s="485" t="s">
        <v>560</v>
      </c>
      <c r="D61" s="185"/>
      <c r="E61" s="251">
        <v>0.15</v>
      </c>
      <c r="F61" s="185"/>
      <c r="G61" s="814">
        <v>0.15</v>
      </c>
      <c r="H61" s="607">
        <f t="shared" si="2"/>
        <v>0</v>
      </c>
      <c r="K61" s="59"/>
      <c r="L61" s="59"/>
      <c r="M61" s="59"/>
      <c r="O61" s="50"/>
    </row>
    <row r="62" spans="1:15" ht="15" customHeight="1" x14ac:dyDescent="0.2">
      <c r="A62" s="189"/>
      <c r="B62" s="812"/>
      <c r="C62" s="826" t="s">
        <v>564</v>
      </c>
      <c r="D62" s="815"/>
      <c r="E62" s="816">
        <f>E60/E61</f>
        <v>6.6666666666666666E-2</v>
      </c>
      <c r="F62" s="815"/>
      <c r="G62" s="813">
        <f>G60/G61</f>
        <v>6.6666666666666666E-2</v>
      </c>
      <c r="H62" s="607">
        <f t="shared" si="2"/>
        <v>0</v>
      </c>
      <c r="K62" s="59"/>
      <c r="L62" s="59"/>
      <c r="M62" s="59"/>
      <c r="O62" s="50"/>
    </row>
    <row r="63" spans="1:15" ht="15" customHeight="1" x14ac:dyDescent="0.2">
      <c r="A63" s="189"/>
      <c r="B63" s="106" t="s">
        <v>363</v>
      </c>
      <c r="C63" s="311" t="s">
        <v>555</v>
      </c>
      <c r="D63" s="409"/>
      <c r="E63" s="124">
        <f>E13*E62*'Suministro de Alimento y O2'!Y34</f>
        <v>16.483766666666668</v>
      </c>
      <c r="F63" s="519" t="s">
        <v>552</v>
      </c>
      <c r="G63" s="619">
        <f>E13*G62*'Suministro de Alimento y O2'!Y34</f>
        <v>16.483766666666668</v>
      </c>
      <c r="H63" s="607">
        <f t="shared" si="2"/>
        <v>0</v>
      </c>
      <c r="K63" s="59"/>
      <c r="L63" s="59"/>
      <c r="M63" s="59"/>
      <c r="O63" s="50"/>
    </row>
    <row r="64" spans="1:15" ht="15" customHeight="1" x14ac:dyDescent="0.2">
      <c r="A64" s="189"/>
      <c r="B64" s="106"/>
      <c r="C64" s="161" t="s">
        <v>557</v>
      </c>
      <c r="D64" s="819">
        <f>E64/E66</f>
        <v>0.37436608086800527</v>
      </c>
      <c r="E64" s="65">
        <f>E61*E63</f>
        <v>2.4725649999999999</v>
      </c>
      <c r="F64" s="7" t="s">
        <v>552</v>
      </c>
      <c r="G64" s="704">
        <f>G61*G63</f>
        <v>2.4725649999999999</v>
      </c>
      <c r="H64" s="607">
        <f t="shared" si="2"/>
        <v>0</v>
      </c>
      <c r="K64" s="59"/>
      <c r="L64" s="59"/>
      <c r="M64" s="59"/>
      <c r="O64" s="50"/>
    </row>
    <row r="65" spans="1:15" ht="15" customHeight="1" x14ac:dyDescent="0.2">
      <c r="A65" s="189"/>
      <c r="B65" s="106" t="s">
        <v>363</v>
      </c>
      <c r="C65" s="579" t="s">
        <v>562</v>
      </c>
      <c r="D65" s="823"/>
      <c r="E65" s="314">
        <f>E13*'Suministro de Alimento y O2'!O35</f>
        <v>9.0772365404000013</v>
      </c>
      <c r="F65" s="7" t="s">
        <v>552</v>
      </c>
      <c r="G65" s="704">
        <f>E13*'Suministro de Alimento y O2'!O35</f>
        <v>9.0772365404000013</v>
      </c>
      <c r="H65" s="607">
        <f t="shared" si="2"/>
        <v>0</v>
      </c>
      <c r="K65" s="59"/>
      <c r="L65" s="59"/>
      <c r="M65" s="59"/>
      <c r="O65" s="50"/>
    </row>
    <row r="66" spans="1:15" ht="15" customHeight="1" x14ac:dyDescent="0.2">
      <c r="A66" s="189"/>
      <c r="B66" s="106"/>
      <c r="C66" s="579" t="s">
        <v>563</v>
      </c>
      <c r="D66" s="823">
        <f>E66/E65</f>
        <v>0.72760817799609279</v>
      </c>
      <c r="E66" s="314">
        <f>E65-E64</f>
        <v>6.6046715404000018</v>
      </c>
      <c r="F66" s="822" t="s">
        <v>552</v>
      </c>
      <c r="G66" s="704">
        <f>G65-G64</f>
        <v>6.6046715404000018</v>
      </c>
      <c r="H66" s="607">
        <f t="shared" si="2"/>
        <v>0</v>
      </c>
      <c r="K66" s="59"/>
      <c r="L66" s="59"/>
      <c r="M66" s="59"/>
      <c r="O66" s="50"/>
    </row>
    <row r="67" spans="1:15" ht="15" customHeight="1" x14ac:dyDescent="0.2">
      <c r="A67" s="189"/>
      <c r="B67" s="106"/>
      <c r="C67" s="824"/>
      <c r="D67" s="825"/>
      <c r="E67" s="821">
        <f>E66*E104</f>
        <v>23.116350391400005</v>
      </c>
      <c r="F67" s="24" t="s">
        <v>559</v>
      </c>
      <c r="G67" s="704">
        <f>G66*G104</f>
        <v>23.116350391400005</v>
      </c>
      <c r="H67" s="607">
        <f t="shared" si="2"/>
        <v>0</v>
      </c>
      <c r="K67" s="59"/>
      <c r="L67" s="59"/>
      <c r="M67" s="59"/>
      <c r="O67" s="50"/>
    </row>
    <row r="68" spans="1:15" ht="15" customHeight="1" x14ac:dyDescent="0.2">
      <c r="A68" s="189"/>
      <c r="B68" s="106"/>
      <c r="C68" s="311" t="s">
        <v>558</v>
      </c>
      <c r="D68" s="123"/>
      <c r="E68" s="124">
        <f>E67/E56</f>
        <v>50.252935633478266</v>
      </c>
      <c r="F68" s="519" t="s">
        <v>559</v>
      </c>
      <c r="G68" s="619">
        <f>G67/G56</f>
        <v>50.252935633478266</v>
      </c>
      <c r="H68" s="607">
        <f t="shared" si="2"/>
        <v>0</v>
      </c>
      <c r="K68" s="59"/>
      <c r="L68" s="59"/>
      <c r="M68" s="59"/>
      <c r="O68" s="50"/>
    </row>
    <row r="69" spans="1:15" ht="15" customHeight="1" x14ac:dyDescent="0.2">
      <c r="A69" s="189"/>
      <c r="B69" s="106" t="s">
        <v>431</v>
      </c>
      <c r="C69" s="485" t="s">
        <v>106</v>
      </c>
      <c r="D69" s="185"/>
      <c r="E69" s="252">
        <v>3.57</v>
      </c>
      <c r="F69" s="185" t="s">
        <v>204</v>
      </c>
      <c r="G69" s="631">
        <v>3.57</v>
      </c>
      <c r="H69" s="607">
        <f t="shared" si="2"/>
        <v>0</v>
      </c>
      <c r="K69" s="59"/>
      <c r="L69" s="59"/>
      <c r="M69" s="59"/>
      <c r="O69" s="50"/>
    </row>
    <row r="70" spans="1:15" ht="15" customHeight="1" x14ac:dyDescent="0.2">
      <c r="A70" s="189"/>
      <c r="B70" s="106" t="s">
        <v>363</v>
      </c>
      <c r="C70" s="220" t="s">
        <v>413</v>
      </c>
      <c r="D70" s="11"/>
      <c r="E70" s="12">
        <f>E13*E69*'Suministro de Alimento y O2'!O35</f>
        <v>32.405734449228007</v>
      </c>
      <c r="F70" s="7" t="s">
        <v>94</v>
      </c>
      <c r="G70" s="627">
        <f>E13*G69*'Suministro de Alimento y O2'!O35</f>
        <v>32.405734449228007</v>
      </c>
      <c r="H70" s="607">
        <f t="shared" si="2"/>
        <v>0</v>
      </c>
      <c r="K70" s="59"/>
      <c r="L70" s="59"/>
      <c r="M70" s="59"/>
      <c r="O70" s="50"/>
    </row>
    <row r="71" spans="1:15" ht="15" customHeight="1" x14ac:dyDescent="0.2">
      <c r="A71" s="189"/>
      <c r="B71" s="755" t="s">
        <v>476</v>
      </c>
      <c r="C71" s="486" t="s">
        <v>399</v>
      </c>
      <c r="D71" s="185"/>
      <c r="E71" s="252">
        <v>1.35</v>
      </c>
      <c r="F71" s="185" t="s">
        <v>401</v>
      </c>
      <c r="G71" s="631">
        <v>1.35</v>
      </c>
      <c r="H71" s="607">
        <f t="shared" si="2"/>
        <v>0</v>
      </c>
      <c r="K71" s="59"/>
      <c r="L71" s="59"/>
      <c r="M71" s="59"/>
      <c r="O71" s="50"/>
    </row>
    <row r="72" spans="1:15" ht="15" customHeight="1" x14ac:dyDescent="0.2">
      <c r="A72" s="189"/>
      <c r="B72" s="106" t="s">
        <v>439</v>
      </c>
      <c r="C72" s="486" t="s">
        <v>398</v>
      </c>
      <c r="D72" s="185"/>
      <c r="E72" s="251">
        <v>0.8</v>
      </c>
      <c r="F72" s="185"/>
      <c r="G72" s="629">
        <v>0.8</v>
      </c>
      <c r="H72" s="607">
        <f t="shared" si="2"/>
        <v>0</v>
      </c>
      <c r="K72" s="59"/>
      <c r="L72" s="59"/>
      <c r="M72" s="59"/>
      <c r="O72" s="50"/>
    </row>
    <row r="73" spans="1:15" ht="15" customHeight="1" x14ac:dyDescent="0.2">
      <c r="A73" s="189"/>
      <c r="B73" s="106"/>
      <c r="C73" s="161" t="s">
        <v>400</v>
      </c>
      <c r="D73" s="11"/>
      <c r="E73" s="12">
        <f>E71*E72</f>
        <v>1.08</v>
      </c>
      <c r="F73" s="11" t="s">
        <v>401</v>
      </c>
      <c r="G73" s="627">
        <f>G71*G72</f>
        <v>1.08</v>
      </c>
      <c r="H73" s="607">
        <f t="shared" si="2"/>
        <v>0</v>
      </c>
      <c r="K73" s="59"/>
      <c r="L73" s="59"/>
      <c r="M73" s="59"/>
      <c r="O73" s="50"/>
    </row>
    <row r="74" spans="1:15" ht="15" customHeight="1" x14ac:dyDescent="0.2">
      <c r="A74" s="189"/>
      <c r="B74" s="254"/>
      <c r="C74" s="593" t="s">
        <v>412</v>
      </c>
      <c r="D74" s="116"/>
      <c r="E74" s="117">
        <f>E70/E73</f>
        <v>30.005309675211116</v>
      </c>
      <c r="F74" s="563" t="s">
        <v>103</v>
      </c>
      <c r="G74" s="625">
        <f>G70/G73</f>
        <v>30.005309675211116</v>
      </c>
      <c r="H74" s="607">
        <f t="shared" si="2"/>
        <v>0</v>
      </c>
      <c r="K74" s="59"/>
      <c r="L74" s="59"/>
      <c r="M74" s="59"/>
      <c r="O74" s="50"/>
    </row>
    <row r="75" spans="1:15" ht="15" customHeight="1" x14ac:dyDescent="0.2">
      <c r="A75" s="189"/>
      <c r="B75" s="106" t="s">
        <v>523</v>
      </c>
      <c r="C75" s="486" t="s">
        <v>414</v>
      </c>
      <c r="D75" s="185"/>
      <c r="E75" s="415">
        <v>3</v>
      </c>
      <c r="F75" s="185" t="s">
        <v>291</v>
      </c>
      <c r="G75" s="633">
        <v>3</v>
      </c>
      <c r="H75" s="607">
        <f t="shared" si="2"/>
        <v>0</v>
      </c>
      <c r="K75" s="59"/>
      <c r="L75" s="59"/>
      <c r="M75" s="59"/>
      <c r="O75" s="50"/>
    </row>
    <row r="76" spans="1:15" ht="15" customHeight="1" x14ac:dyDescent="0.2">
      <c r="A76" s="189"/>
      <c r="B76" s="254"/>
      <c r="C76" s="311" t="s">
        <v>417</v>
      </c>
      <c r="D76" s="409"/>
      <c r="E76" s="294">
        <f>E75*E17/2</f>
        <v>241.68955650380965</v>
      </c>
      <c r="F76" s="519" t="s">
        <v>89</v>
      </c>
      <c r="G76" s="618">
        <f>G75*G17/2</f>
        <v>241.68955650380965</v>
      </c>
      <c r="H76" s="607">
        <f t="shared" si="2"/>
        <v>0</v>
      </c>
      <c r="K76" s="59"/>
      <c r="L76" s="59"/>
      <c r="M76" s="59"/>
      <c r="O76" s="50"/>
    </row>
    <row r="77" spans="1:15" ht="15" customHeight="1" x14ac:dyDescent="0.2">
      <c r="A77" s="189"/>
      <c r="B77" s="756" t="s">
        <v>468</v>
      </c>
      <c r="C77" s="485" t="s">
        <v>147</v>
      </c>
      <c r="D77" s="185"/>
      <c r="E77" s="252">
        <v>4.7</v>
      </c>
      <c r="F77" s="185" t="s">
        <v>148</v>
      </c>
      <c r="G77" s="631">
        <v>4.7</v>
      </c>
      <c r="H77" s="607">
        <f t="shared" si="2"/>
        <v>0</v>
      </c>
      <c r="K77" s="59"/>
      <c r="L77" s="59"/>
      <c r="M77" s="59"/>
      <c r="O77" s="50"/>
    </row>
    <row r="78" spans="1:15" ht="15" customHeight="1" x14ac:dyDescent="0.2">
      <c r="A78" s="189"/>
      <c r="B78" s="756" t="s">
        <v>469</v>
      </c>
      <c r="C78" s="485" t="s">
        <v>188</v>
      </c>
      <c r="D78" s="185"/>
      <c r="E78" s="252">
        <v>79</v>
      </c>
      <c r="F78" s="185" t="s">
        <v>239</v>
      </c>
      <c r="G78" s="631">
        <v>79</v>
      </c>
      <c r="H78" s="607">
        <f t="shared" si="2"/>
        <v>0</v>
      </c>
      <c r="K78" s="59"/>
      <c r="L78" s="59"/>
      <c r="M78" s="59"/>
      <c r="O78" s="50"/>
    </row>
    <row r="79" spans="1:15" ht="15" customHeight="1" x14ac:dyDescent="0.2">
      <c r="A79" s="189"/>
      <c r="B79" s="106" t="s">
        <v>363</v>
      </c>
      <c r="C79" s="311" t="s">
        <v>189</v>
      </c>
      <c r="D79" s="116"/>
      <c r="E79" s="117">
        <f>E13*E78*SUM('Suministro de Alimento y O2'!K29:K31)/1000000</f>
        <v>0.86793073499999995</v>
      </c>
      <c r="F79" s="519" t="s">
        <v>103</v>
      </c>
      <c r="G79" s="625">
        <f>G13*G78*SUM('Suministro de Alimento y O2'!K29:K31)/1000000</f>
        <v>0.86793073499999995</v>
      </c>
      <c r="H79" s="607">
        <f t="shared" si="2"/>
        <v>0</v>
      </c>
      <c r="K79" s="59"/>
      <c r="L79" s="59"/>
      <c r="M79" s="59"/>
      <c r="O79" s="50"/>
    </row>
    <row r="80" spans="1:15" ht="15" customHeight="1" x14ac:dyDescent="0.2">
      <c r="A80" s="189"/>
      <c r="B80" s="524"/>
      <c r="C80" s="311" t="s">
        <v>394</v>
      </c>
      <c r="D80" s="409" t="str">
        <f>IF(E80&gt;E79,"suficiente","insuficiente")</f>
        <v>suficiente</v>
      </c>
      <c r="E80" s="124">
        <f>E77*E98/(1000*E104)</f>
        <v>2.2340292477995085</v>
      </c>
      <c r="F80" s="519" t="s">
        <v>103</v>
      </c>
      <c r="G80" s="619">
        <f>G77*G98/(1000*G104)</f>
        <v>2.2340292477995085</v>
      </c>
      <c r="H80" s="607">
        <f t="shared" si="2"/>
        <v>0</v>
      </c>
      <c r="K80" s="59"/>
      <c r="L80" s="59"/>
      <c r="M80" s="59"/>
      <c r="O80" s="50"/>
    </row>
    <row r="81" spans="1:15" ht="15" customHeight="1" x14ac:dyDescent="0.2">
      <c r="A81" s="189"/>
      <c r="B81" s="827" t="s">
        <v>566</v>
      </c>
      <c r="C81" s="486" t="s">
        <v>565</v>
      </c>
      <c r="D81" s="185"/>
      <c r="E81" s="811">
        <f>(2.1-1.3)/100</f>
        <v>8.0000000000000002E-3</v>
      </c>
      <c r="F81" s="185"/>
      <c r="G81" s="813">
        <f>(2.1-1.3)/100</f>
        <v>8.0000000000000002E-3</v>
      </c>
      <c r="H81" s="607">
        <f t="shared" ref="H81:H85" si="3">G81-E81</f>
        <v>0</v>
      </c>
      <c r="K81" s="59"/>
      <c r="L81" s="59"/>
      <c r="M81" s="59"/>
      <c r="O81" s="50"/>
    </row>
    <row r="82" spans="1:15" ht="15" customHeight="1" x14ac:dyDescent="0.2">
      <c r="A82" s="189"/>
      <c r="B82" s="827" t="s">
        <v>573</v>
      </c>
      <c r="C82" s="486" t="s">
        <v>567</v>
      </c>
      <c r="D82" s="185"/>
      <c r="E82" s="811">
        <f>E81/0.31</f>
        <v>2.5806451612903226E-2</v>
      </c>
      <c r="F82" s="185"/>
      <c r="G82" s="813">
        <f>G81/0.31</f>
        <v>2.5806451612903226E-2</v>
      </c>
      <c r="H82" s="607">
        <f t="shared" si="3"/>
        <v>0</v>
      </c>
      <c r="K82" s="59"/>
      <c r="L82" s="59"/>
      <c r="M82" s="59"/>
      <c r="O82" s="50"/>
    </row>
    <row r="83" spans="1:15" ht="15" customHeight="1" x14ac:dyDescent="0.2">
      <c r="A83" s="189"/>
      <c r="B83" s="827"/>
      <c r="C83" s="161" t="s">
        <v>577</v>
      </c>
      <c r="D83" s="11"/>
      <c r="E83" s="839">
        <f>E100*'Suministro de Alimento y O2'!Z34/'Suministro de Alimento y O2'!Y34</f>
        <v>0.33522240644260093</v>
      </c>
      <c r="F83" s="11"/>
      <c r="G83" s="813">
        <f>G100*'Suministro de Alimento y O2'!Z34/'Suministro de Alimento y O2'!Y34</f>
        <v>0.33522240644260093</v>
      </c>
      <c r="H83" s="607">
        <f t="shared" si="3"/>
        <v>0</v>
      </c>
      <c r="K83" s="59"/>
      <c r="L83" s="59"/>
      <c r="M83" s="59"/>
      <c r="O83" s="50"/>
    </row>
    <row r="84" spans="1:15" ht="15" customHeight="1" x14ac:dyDescent="0.2">
      <c r="A84" s="189"/>
      <c r="B84" s="827"/>
      <c r="C84" s="311" t="s">
        <v>578</v>
      </c>
      <c r="D84" s="562"/>
      <c r="E84" s="841">
        <f>E82/E83</f>
        <v>7.6983074868898965E-2</v>
      </c>
      <c r="F84" s="562"/>
      <c r="G84" s="813">
        <f>G82/G83</f>
        <v>7.6983074868898965E-2</v>
      </c>
      <c r="H84" s="607">
        <f t="shared" si="3"/>
        <v>0</v>
      </c>
      <c r="I84" s="840"/>
      <c r="K84" s="59"/>
      <c r="L84" s="59"/>
      <c r="M84" s="59"/>
      <c r="O84" s="50"/>
    </row>
    <row r="85" spans="1:15" ht="15" customHeight="1" x14ac:dyDescent="0.2">
      <c r="A85" s="189"/>
      <c r="B85" s="827" t="s">
        <v>574</v>
      </c>
      <c r="C85" s="486" t="s">
        <v>569</v>
      </c>
      <c r="D85" s="185"/>
      <c r="E85" s="253">
        <v>4</v>
      </c>
      <c r="F85" s="185" t="s">
        <v>568</v>
      </c>
      <c r="G85" s="704">
        <v>4</v>
      </c>
      <c r="H85" s="607">
        <f t="shared" si="3"/>
        <v>0</v>
      </c>
      <c r="K85" s="59"/>
      <c r="L85" s="59"/>
      <c r="M85" s="59"/>
      <c r="O85" s="50"/>
    </row>
    <row r="86" spans="1:15" ht="15" customHeight="1" x14ac:dyDescent="0.2">
      <c r="A86" s="189"/>
      <c r="B86" s="827"/>
      <c r="C86" s="829" t="s">
        <v>571</v>
      </c>
      <c r="D86" s="830"/>
      <c r="E86" s="831">
        <f>1000*E85*E82</f>
        <v>103.2258064516129</v>
      </c>
      <c r="F86" s="832" t="s">
        <v>570</v>
      </c>
      <c r="G86" s="828">
        <f>1000*G85*G82</f>
        <v>103.2258064516129</v>
      </c>
      <c r="H86" s="607">
        <f>G86-E86</f>
        <v>0</v>
      </c>
      <c r="K86" s="59"/>
      <c r="L86" s="59"/>
      <c r="M86" s="59"/>
      <c r="O86" s="50"/>
    </row>
    <row r="87" spans="1:15" ht="15" customHeight="1" x14ac:dyDescent="0.2">
      <c r="A87" s="189"/>
      <c r="B87" s="827"/>
      <c r="C87" s="161" t="s">
        <v>572</v>
      </c>
      <c r="D87" s="819"/>
      <c r="E87" s="65">
        <f>E104*E13*'Suministro de Alimento y O2'!Y34*'Parab Tilapias '!E86/1000</f>
        <v>89.331380645161289</v>
      </c>
      <c r="F87" s="7" t="s">
        <v>584</v>
      </c>
      <c r="G87" s="704">
        <f>G104*E13*'Suministro de Alimento y O2'!Y34*'Parab Tilapias '!G86/1000</f>
        <v>89.331380645161289</v>
      </c>
      <c r="H87" s="607">
        <f t="shared" ref="H87" si="4">G87-E87</f>
        <v>0</v>
      </c>
      <c r="K87" s="59"/>
      <c r="L87" s="59"/>
      <c r="M87" s="59"/>
      <c r="O87" s="50"/>
    </row>
    <row r="88" spans="1:15" ht="15" customHeight="1" x14ac:dyDescent="0.2">
      <c r="A88" s="189"/>
      <c r="B88" s="20"/>
      <c r="C88" s="589" t="s">
        <v>590</v>
      </c>
      <c r="F88" s="48"/>
      <c r="G88" s="628"/>
      <c r="H88" s="576"/>
      <c r="K88" s="59"/>
      <c r="L88" s="59"/>
      <c r="M88" s="59"/>
      <c r="O88" s="50"/>
    </row>
    <row r="89" spans="1:15" ht="15" customHeight="1" x14ac:dyDescent="0.2">
      <c r="A89" s="189"/>
      <c r="B89" s="106" t="s">
        <v>474</v>
      </c>
      <c r="C89" s="485" t="s">
        <v>303</v>
      </c>
      <c r="D89" s="250" t="s">
        <v>177</v>
      </c>
      <c r="E89" s="404">
        <v>20</v>
      </c>
      <c r="F89" s="185"/>
      <c r="G89" s="621">
        <v>20</v>
      </c>
      <c r="H89" s="607">
        <f t="shared" ref="H89:H101" si="5">G89-E89</f>
        <v>0</v>
      </c>
      <c r="K89" s="59"/>
      <c r="L89" s="59"/>
      <c r="M89" s="59"/>
      <c r="O89" s="50"/>
    </row>
    <row r="90" spans="1:15" ht="15" customHeight="1" x14ac:dyDescent="0.2">
      <c r="A90" s="189"/>
      <c r="B90" s="756" t="s">
        <v>468</v>
      </c>
      <c r="C90" s="485" t="s">
        <v>100</v>
      </c>
      <c r="D90" s="185"/>
      <c r="E90" s="251">
        <v>0.16</v>
      </c>
      <c r="F90" s="185"/>
      <c r="G90" s="629">
        <v>0.16</v>
      </c>
      <c r="H90" s="607">
        <f t="shared" si="5"/>
        <v>0</v>
      </c>
      <c r="K90" s="59"/>
      <c r="L90" s="59"/>
      <c r="M90" s="59"/>
      <c r="O90" s="50"/>
    </row>
    <row r="91" spans="1:15" ht="15" customHeight="1" x14ac:dyDescent="0.2">
      <c r="A91" s="189"/>
      <c r="B91" s="756" t="s">
        <v>468</v>
      </c>
      <c r="C91" s="485" t="s">
        <v>154</v>
      </c>
      <c r="D91" s="185"/>
      <c r="E91" s="251">
        <v>0.3</v>
      </c>
      <c r="F91" s="185"/>
      <c r="G91" s="629">
        <v>0.3</v>
      </c>
      <c r="H91" s="607">
        <f t="shared" si="5"/>
        <v>0</v>
      </c>
      <c r="K91" s="59"/>
      <c r="L91" s="59"/>
      <c r="M91" s="59"/>
      <c r="O91" s="50"/>
    </row>
    <row r="92" spans="1:15" ht="15" customHeight="1" x14ac:dyDescent="0.2">
      <c r="A92" s="189"/>
      <c r="B92" s="756" t="s">
        <v>468</v>
      </c>
      <c r="C92" s="486" t="s">
        <v>101</v>
      </c>
      <c r="D92" s="250" t="s">
        <v>153</v>
      </c>
      <c r="E92" s="251">
        <v>0.14000000000000001</v>
      </c>
      <c r="F92" s="185"/>
      <c r="G92" s="629">
        <v>0.14000000000000001</v>
      </c>
      <c r="H92" s="607">
        <f t="shared" si="5"/>
        <v>0</v>
      </c>
      <c r="K92" s="59"/>
      <c r="L92" s="59"/>
      <c r="M92" s="59"/>
      <c r="O92" s="50"/>
    </row>
    <row r="93" spans="1:15" ht="15" customHeight="1" x14ac:dyDescent="0.2">
      <c r="A93" s="189"/>
      <c r="B93" s="757"/>
      <c r="C93" s="594" t="s">
        <v>102</v>
      </c>
      <c r="D93" s="249"/>
      <c r="E93" s="249">
        <f>E92*(1-E90)</f>
        <v>0.11760000000000001</v>
      </c>
      <c r="F93" s="564"/>
      <c r="G93" s="634">
        <f>G92*(1-G90)</f>
        <v>0.11760000000000001</v>
      </c>
      <c r="H93" s="607">
        <f t="shared" si="5"/>
        <v>0</v>
      </c>
      <c r="K93" s="59"/>
      <c r="L93" s="59"/>
      <c r="M93" s="59"/>
      <c r="O93" s="50"/>
    </row>
    <row r="94" spans="1:15" ht="15" customHeight="1" x14ac:dyDescent="0.2">
      <c r="A94" s="189"/>
      <c r="B94" s="757"/>
      <c r="C94" s="594" t="s">
        <v>217</v>
      </c>
      <c r="D94" s="249"/>
      <c r="E94" s="249">
        <f>E91*E90</f>
        <v>4.8000000000000001E-2</v>
      </c>
      <c r="F94" s="564"/>
      <c r="G94" s="634">
        <f>G91*G90</f>
        <v>4.8000000000000001E-2</v>
      </c>
      <c r="H94" s="607">
        <f t="shared" si="5"/>
        <v>0</v>
      </c>
      <c r="K94" s="59"/>
      <c r="L94" s="59"/>
      <c r="M94" s="59"/>
      <c r="O94" s="50"/>
    </row>
    <row r="95" spans="1:15" ht="15" customHeight="1" x14ac:dyDescent="0.2">
      <c r="A95" s="189"/>
      <c r="B95" s="254"/>
      <c r="C95" s="516" t="s">
        <v>137</v>
      </c>
      <c r="D95" s="255"/>
      <c r="E95" s="256">
        <f>E90+E93+E94</f>
        <v>0.3256</v>
      </c>
      <c r="F95" s="565"/>
      <c r="G95" s="634">
        <f>G90+G93+G94</f>
        <v>0.3256</v>
      </c>
      <c r="H95" s="607">
        <f t="shared" si="5"/>
        <v>0</v>
      </c>
      <c r="K95" s="59"/>
      <c r="L95" s="59"/>
      <c r="M95" s="59"/>
      <c r="O95" s="50"/>
    </row>
    <row r="96" spans="1:15" ht="15" customHeight="1" x14ac:dyDescent="0.2">
      <c r="A96" s="189"/>
      <c r="B96" s="254"/>
      <c r="C96" s="594" t="s">
        <v>218</v>
      </c>
      <c r="D96" s="249"/>
      <c r="E96" s="249">
        <f>E93+E94</f>
        <v>0.16560000000000002</v>
      </c>
      <c r="F96" s="564"/>
      <c r="G96" s="634">
        <f>G93+G94</f>
        <v>0.16560000000000002</v>
      </c>
      <c r="H96" s="607">
        <f t="shared" si="5"/>
        <v>0</v>
      </c>
      <c r="K96" s="59"/>
      <c r="L96" s="59"/>
      <c r="M96" s="59"/>
      <c r="O96" s="50"/>
    </row>
    <row r="97" spans="1:15" ht="15" customHeight="1" x14ac:dyDescent="0.2">
      <c r="A97" s="189"/>
      <c r="B97" s="106" t="s">
        <v>363</v>
      </c>
      <c r="C97" s="595" t="s">
        <v>185</v>
      </c>
      <c r="D97" s="410"/>
      <c r="E97" s="294">
        <f>E13*'Suministro de Alimento y O2'!AA34</f>
        <v>2466.8428255528256</v>
      </c>
      <c r="F97" s="566" t="s">
        <v>183</v>
      </c>
      <c r="G97" s="618">
        <f>G13*'Suministro de Alimento y O2'!AA34</f>
        <v>2466.8428255528256</v>
      </c>
      <c r="H97" s="607">
        <f t="shared" si="5"/>
        <v>0</v>
      </c>
      <c r="K97" s="59"/>
      <c r="L97" s="59"/>
      <c r="M97" s="59"/>
      <c r="O97" s="50"/>
    </row>
    <row r="98" spans="1:15" ht="15" customHeight="1" x14ac:dyDescent="0.2">
      <c r="A98" s="189"/>
      <c r="B98" s="524"/>
      <c r="C98" s="516" t="s">
        <v>187</v>
      </c>
      <c r="D98" s="258"/>
      <c r="E98" s="257">
        <f>E97*(1-E95)</f>
        <v>1663.6388015528255</v>
      </c>
      <c r="F98" s="567" t="s">
        <v>186</v>
      </c>
      <c r="G98" s="618">
        <f>G97*(1-G95)</f>
        <v>1663.6388015528255</v>
      </c>
      <c r="H98" s="607">
        <f t="shared" si="5"/>
        <v>0</v>
      </c>
      <c r="K98" s="59"/>
      <c r="L98" s="59"/>
      <c r="M98" s="59"/>
      <c r="O98" s="50"/>
    </row>
    <row r="99" spans="1:15" ht="15" customHeight="1" x14ac:dyDescent="0.2">
      <c r="A99" s="189"/>
      <c r="B99" s="524"/>
      <c r="C99" s="877" t="s">
        <v>219</v>
      </c>
      <c r="D99" s="259" t="s">
        <v>120</v>
      </c>
      <c r="E99" s="260">
        <f>E90/E95</f>
        <v>0.49140049140049141</v>
      </c>
      <c r="F99" s="564"/>
      <c r="G99" s="635">
        <f>G90/G95</f>
        <v>0.49140049140049141</v>
      </c>
      <c r="H99" s="607">
        <f t="shared" si="5"/>
        <v>0</v>
      </c>
      <c r="K99" s="59"/>
      <c r="L99" s="59"/>
      <c r="M99" s="59"/>
      <c r="O99" s="50"/>
    </row>
    <row r="100" spans="1:15" ht="15" customHeight="1" x14ac:dyDescent="0.2">
      <c r="A100" s="189"/>
      <c r="B100" s="524"/>
      <c r="C100" s="878"/>
      <c r="D100" s="259" t="s">
        <v>220</v>
      </c>
      <c r="E100" s="260">
        <f>E93/E95</f>
        <v>0.36117936117936122</v>
      </c>
      <c r="F100" s="564"/>
      <c r="G100" s="635">
        <f>G93/G95</f>
        <v>0.36117936117936122</v>
      </c>
      <c r="H100" s="607">
        <f t="shared" si="5"/>
        <v>0</v>
      </c>
      <c r="K100" s="59"/>
      <c r="L100" s="59"/>
      <c r="M100" s="59"/>
      <c r="O100" s="50"/>
    </row>
    <row r="101" spans="1:15" ht="15" customHeight="1" x14ac:dyDescent="0.2">
      <c r="A101" s="189"/>
      <c r="B101" s="796"/>
      <c r="C101" s="879"/>
      <c r="D101" s="259" t="s">
        <v>221</v>
      </c>
      <c r="E101" s="260">
        <f>E94/E95</f>
        <v>0.14742014742014742</v>
      </c>
      <c r="F101" s="564"/>
      <c r="G101" s="635">
        <f>G94/G95</f>
        <v>0.14742014742014742</v>
      </c>
      <c r="H101" s="607">
        <f t="shared" si="5"/>
        <v>0</v>
      </c>
      <c r="K101" s="59"/>
      <c r="L101" s="59"/>
      <c r="M101" s="59"/>
      <c r="O101" s="50"/>
    </row>
    <row r="102" spans="1:15" ht="22.5" customHeight="1" x14ac:dyDescent="0.2">
      <c r="A102" s="189"/>
      <c r="B102" s="525"/>
      <c r="C102" s="596" t="s">
        <v>462</v>
      </c>
      <c r="D102" s="405"/>
      <c r="E102" s="405"/>
      <c r="F102" s="405"/>
      <c r="G102" s="636"/>
      <c r="H102" s="577"/>
      <c r="O102" s="50"/>
    </row>
    <row r="103" spans="1:15" ht="15" customHeight="1" x14ac:dyDescent="0.2">
      <c r="A103" s="189"/>
      <c r="B103" s="99"/>
      <c r="C103" s="517" t="s">
        <v>302</v>
      </c>
      <c r="D103" s="7"/>
      <c r="E103" s="658"/>
      <c r="F103" s="8"/>
      <c r="G103" s="637"/>
      <c r="H103" s="578"/>
      <c r="O103" s="50"/>
    </row>
    <row r="104" spans="1:15" ht="15" customHeight="1" x14ac:dyDescent="0.2">
      <c r="A104" s="189"/>
      <c r="B104" s="99"/>
      <c r="C104" s="526" t="s">
        <v>432</v>
      </c>
      <c r="D104" s="129"/>
      <c r="E104" s="132">
        <v>3.5</v>
      </c>
      <c r="F104" s="568" t="s">
        <v>97</v>
      </c>
      <c r="G104" s="638">
        <v>3.5</v>
      </c>
      <c r="H104" s="607">
        <f t="shared" ref="H104:H123" si="6">G104-E104</f>
        <v>0</v>
      </c>
      <c r="O104" s="50"/>
    </row>
    <row r="105" spans="1:15" ht="15" customHeight="1" x14ac:dyDescent="0.2">
      <c r="A105" s="189"/>
      <c r="B105" s="20"/>
      <c r="C105" s="487" t="s">
        <v>110</v>
      </c>
      <c r="D105" s="246"/>
      <c r="E105" s="427">
        <f>2*E104</f>
        <v>7</v>
      </c>
      <c r="F105" s="554" t="s">
        <v>97</v>
      </c>
      <c r="G105" s="633">
        <v>7</v>
      </c>
      <c r="H105" s="607">
        <f t="shared" si="6"/>
        <v>0</v>
      </c>
      <c r="O105" s="50"/>
    </row>
    <row r="106" spans="1:15" ht="15" customHeight="1" x14ac:dyDescent="0.2">
      <c r="A106" s="189"/>
      <c r="B106" s="106" t="s">
        <v>363</v>
      </c>
      <c r="C106" s="487" t="s">
        <v>197</v>
      </c>
      <c r="D106" s="246"/>
      <c r="E106" s="247">
        <f>E13*('Suministro de Alimento y O2'!AA32+'Suministro de Alimento y O2'!AA33)</f>
        <v>1709.955776566339</v>
      </c>
      <c r="F106" s="554" t="s">
        <v>198</v>
      </c>
      <c r="G106" s="633">
        <f>E13*('Suministro de Alimento y O2'!AA32+'Suministro de Alimento y O2'!AA33)</f>
        <v>1709.955776566339</v>
      </c>
      <c r="H106" s="607">
        <f t="shared" si="6"/>
        <v>0</v>
      </c>
      <c r="O106" s="50"/>
    </row>
    <row r="107" spans="1:15" ht="15" customHeight="1" x14ac:dyDescent="0.2">
      <c r="A107" s="189"/>
      <c r="B107" s="106" t="s">
        <v>439</v>
      </c>
      <c r="C107" s="785" t="s">
        <v>438</v>
      </c>
      <c r="D107" s="793"/>
      <c r="E107" s="794">
        <v>250</v>
      </c>
      <c r="F107" s="786" t="s">
        <v>104</v>
      </c>
      <c r="G107" s="633">
        <v>250</v>
      </c>
      <c r="H107" s="607">
        <f t="shared" si="6"/>
        <v>0</v>
      </c>
      <c r="O107" s="50"/>
    </row>
    <row r="108" spans="1:15" ht="15" customHeight="1" x14ac:dyDescent="0.2">
      <c r="A108" s="189"/>
      <c r="B108" s="254"/>
      <c r="C108" s="311" t="s">
        <v>105</v>
      </c>
      <c r="D108" s="116"/>
      <c r="E108" s="117">
        <f>E106/E107</f>
        <v>6.8398231062653556</v>
      </c>
      <c r="F108" s="519" t="s">
        <v>70</v>
      </c>
      <c r="G108" s="625">
        <f>G106/G107</f>
        <v>6.8398231062653556</v>
      </c>
      <c r="H108" s="607">
        <f t="shared" si="6"/>
        <v>0</v>
      </c>
      <c r="O108" s="50"/>
    </row>
    <row r="109" spans="1:15" ht="15" customHeight="1" x14ac:dyDescent="0.2">
      <c r="A109" s="189"/>
      <c r="B109" s="106" t="s">
        <v>326</v>
      </c>
      <c r="C109" s="785" t="s">
        <v>108</v>
      </c>
      <c r="D109" s="793"/>
      <c r="E109" s="794">
        <v>3</v>
      </c>
      <c r="F109" s="786" t="s">
        <v>55</v>
      </c>
      <c r="G109" s="633">
        <v>3</v>
      </c>
      <c r="H109" s="607">
        <f t="shared" si="6"/>
        <v>0</v>
      </c>
      <c r="O109" s="50"/>
    </row>
    <row r="110" spans="1:15" ht="15" customHeight="1" x14ac:dyDescent="0.2">
      <c r="A110" s="189"/>
      <c r="B110" s="20"/>
      <c r="C110" s="161" t="s">
        <v>233</v>
      </c>
      <c r="D110" s="407"/>
      <c r="E110" s="408">
        <f>365*E108*E109/(7*0.67)</f>
        <v>1596.9309811003334</v>
      </c>
      <c r="F110" s="11" t="s">
        <v>234</v>
      </c>
      <c r="G110" s="639">
        <f>365*G108*G109/(7*0.67)</f>
        <v>1596.9309811003334</v>
      </c>
      <c r="H110" s="607">
        <f t="shared" si="6"/>
        <v>0</v>
      </c>
      <c r="O110" s="50"/>
    </row>
    <row r="111" spans="1:15" ht="15" customHeight="1" x14ac:dyDescent="0.2">
      <c r="A111" s="189"/>
      <c r="B111" s="753" t="s">
        <v>324</v>
      </c>
      <c r="C111" s="788" t="s">
        <v>325</v>
      </c>
      <c r="D111" s="789"/>
      <c r="E111" s="795">
        <v>2000</v>
      </c>
      <c r="F111" s="791" t="s">
        <v>104</v>
      </c>
      <c r="G111" s="618">
        <v>2000</v>
      </c>
      <c r="H111" s="607">
        <f t="shared" si="6"/>
        <v>0</v>
      </c>
      <c r="O111" s="50"/>
    </row>
    <row r="112" spans="1:15" ht="15" customHeight="1" x14ac:dyDescent="0.2">
      <c r="A112" s="189"/>
      <c r="B112" s="20"/>
      <c r="C112" s="482" t="s">
        <v>406</v>
      </c>
      <c r="D112" s="166"/>
      <c r="E112" s="167">
        <f>E97/E111</f>
        <v>1.2334214127764127</v>
      </c>
      <c r="F112" s="569" t="s">
        <v>70</v>
      </c>
      <c r="G112" s="640">
        <f>G97/G111</f>
        <v>1.2334214127764127</v>
      </c>
      <c r="H112" s="607">
        <f t="shared" si="6"/>
        <v>0</v>
      </c>
      <c r="O112" s="50"/>
    </row>
    <row r="113" spans="1:15" ht="15" customHeight="1" x14ac:dyDescent="0.2">
      <c r="A113" s="189"/>
      <c r="B113" s="753" t="s">
        <v>324</v>
      </c>
      <c r="C113" s="526" t="s">
        <v>109</v>
      </c>
      <c r="D113" s="129"/>
      <c r="E113" s="10">
        <v>5</v>
      </c>
      <c r="F113" s="568" t="s">
        <v>55</v>
      </c>
      <c r="G113" s="633">
        <v>5</v>
      </c>
      <c r="H113" s="607">
        <f t="shared" si="6"/>
        <v>0</v>
      </c>
      <c r="O113" s="50"/>
    </row>
    <row r="114" spans="1:15" ht="15" customHeight="1" x14ac:dyDescent="0.2">
      <c r="A114" s="189"/>
      <c r="B114" s="20"/>
      <c r="C114" s="488" t="s">
        <v>235</v>
      </c>
      <c r="D114" s="263"/>
      <c r="E114" s="264">
        <f>365*E112*E113/(7*0.67)</f>
        <v>479.95609345777251</v>
      </c>
      <c r="F114" s="570" t="s">
        <v>234</v>
      </c>
      <c r="G114" s="639">
        <f>365*G112*G113/(7*0.67)</f>
        <v>479.95609345777251</v>
      </c>
      <c r="H114" s="607">
        <f t="shared" si="6"/>
        <v>0</v>
      </c>
      <c r="O114" s="50"/>
    </row>
    <row r="115" spans="1:15" ht="15" customHeight="1" x14ac:dyDescent="0.2">
      <c r="A115" s="189"/>
      <c r="B115" s="20"/>
      <c r="C115" s="488" t="s">
        <v>416</v>
      </c>
      <c r="E115" s="432">
        <f>E97*(E99+E101)</f>
        <v>1575.8701096897657</v>
      </c>
      <c r="F115" s="11" t="s">
        <v>405</v>
      </c>
      <c r="G115" s="641">
        <f>G97*(G99+G101)</f>
        <v>1575.8701096897657</v>
      </c>
      <c r="H115" s="607">
        <f t="shared" si="6"/>
        <v>0</v>
      </c>
      <c r="O115" s="50"/>
    </row>
    <row r="116" spans="1:15" ht="15" customHeight="1" x14ac:dyDescent="0.2">
      <c r="A116" s="189"/>
      <c r="B116" s="106" t="s">
        <v>450</v>
      </c>
      <c r="C116" s="788" t="s">
        <v>323</v>
      </c>
      <c r="D116" s="789"/>
      <c r="E116" s="795">
        <v>200</v>
      </c>
      <c r="F116" s="791" t="s">
        <v>31</v>
      </c>
      <c r="G116" s="618">
        <v>200</v>
      </c>
      <c r="H116" s="607">
        <f t="shared" si="6"/>
        <v>0</v>
      </c>
      <c r="O116" s="50"/>
    </row>
    <row r="117" spans="1:15" ht="15" customHeight="1" x14ac:dyDescent="0.2">
      <c r="A117" s="189"/>
      <c r="B117" s="20"/>
      <c r="C117" s="482" t="s">
        <v>415</v>
      </c>
      <c r="D117" s="409"/>
      <c r="E117" s="167">
        <f>E115/E116</f>
        <v>7.8793505484488291</v>
      </c>
      <c r="F117" s="569" t="s">
        <v>150</v>
      </c>
      <c r="G117" s="640">
        <f>G115/G116</f>
        <v>7.8793505484488291</v>
      </c>
      <c r="H117" s="607">
        <f t="shared" si="6"/>
        <v>0</v>
      </c>
      <c r="O117" s="50"/>
    </row>
    <row r="118" spans="1:15" ht="15" customHeight="1" x14ac:dyDescent="0.2">
      <c r="A118" s="189"/>
      <c r="B118" s="190" t="s">
        <v>362</v>
      </c>
      <c r="C118" s="490" t="s">
        <v>463</v>
      </c>
      <c r="D118" s="28"/>
      <c r="E118" s="60">
        <v>6</v>
      </c>
      <c r="F118" s="571" t="s">
        <v>2</v>
      </c>
      <c r="G118" s="627">
        <v>6</v>
      </c>
      <c r="H118" s="607">
        <f t="shared" si="6"/>
        <v>0</v>
      </c>
      <c r="O118" s="50"/>
    </row>
    <row r="119" spans="1:15" ht="15" customHeight="1" x14ac:dyDescent="0.2">
      <c r="A119" s="189"/>
      <c r="B119" s="190" t="s">
        <v>362</v>
      </c>
      <c r="C119" s="490" t="s">
        <v>464</v>
      </c>
      <c r="D119" s="28"/>
      <c r="E119" s="60">
        <v>2.2000000000000002</v>
      </c>
      <c r="F119" s="571" t="s">
        <v>2</v>
      </c>
      <c r="G119" s="627">
        <v>2.2000000000000002</v>
      </c>
      <c r="H119" s="607">
        <f t="shared" si="6"/>
        <v>0</v>
      </c>
      <c r="O119" s="50"/>
    </row>
    <row r="120" spans="1:15" ht="15" customHeight="1" x14ac:dyDescent="0.2">
      <c r="A120" s="189"/>
      <c r="B120" s="20"/>
      <c r="C120" s="516" t="s">
        <v>111</v>
      </c>
      <c r="D120" s="261"/>
      <c r="E120" s="262">
        <f>E119*E118</f>
        <v>13.200000000000001</v>
      </c>
      <c r="F120" s="565" t="s">
        <v>3</v>
      </c>
      <c r="G120" s="625">
        <f>G119*G118</f>
        <v>13.200000000000001</v>
      </c>
      <c r="H120" s="607">
        <f t="shared" si="6"/>
        <v>0</v>
      </c>
      <c r="O120" s="50"/>
    </row>
    <row r="121" spans="1:15" ht="15" customHeight="1" x14ac:dyDescent="0.2">
      <c r="A121" s="189"/>
      <c r="B121" s="20"/>
      <c r="C121" s="220" t="s">
        <v>174</v>
      </c>
      <c r="D121" s="7"/>
      <c r="E121" s="12">
        <f>2* E119+0.12</f>
        <v>4.5200000000000005</v>
      </c>
      <c r="F121" s="11" t="s">
        <v>2</v>
      </c>
      <c r="G121" s="627">
        <f>2* G119+0.12</f>
        <v>4.5200000000000005</v>
      </c>
      <c r="H121" s="607">
        <f t="shared" si="6"/>
        <v>0</v>
      </c>
      <c r="O121" s="50"/>
    </row>
    <row r="122" spans="1:15" ht="15" customHeight="1" x14ac:dyDescent="0.2">
      <c r="A122" s="189"/>
      <c r="B122" s="758"/>
      <c r="C122" s="311" t="s">
        <v>403</v>
      </c>
      <c r="D122" s="116"/>
      <c r="E122" s="117">
        <f>E117/E120</f>
        <v>0.59692049609460818</v>
      </c>
      <c r="F122" s="519" t="s">
        <v>2</v>
      </c>
      <c r="G122" s="625">
        <f>G117/G120</f>
        <v>0.59692049609460818</v>
      </c>
      <c r="H122" s="607">
        <f t="shared" si="6"/>
        <v>0</v>
      </c>
      <c r="O122" s="50"/>
    </row>
    <row r="123" spans="1:15" ht="15" customHeight="1" x14ac:dyDescent="0.2">
      <c r="A123" s="189"/>
      <c r="B123" s="753" t="s">
        <v>433</v>
      </c>
      <c r="C123" s="597" t="s">
        <v>182</v>
      </c>
      <c r="D123" s="165" t="str">
        <f>IF(E122&gt;E123,"insuficiente","suficiente")</f>
        <v>suficiente</v>
      </c>
      <c r="E123" s="856">
        <v>0.6</v>
      </c>
      <c r="F123" s="571" t="s">
        <v>2</v>
      </c>
      <c r="G123" s="627">
        <v>0.6</v>
      </c>
      <c r="H123" s="607">
        <f t="shared" si="6"/>
        <v>0</v>
      </c>
      <c r="O123" s="50"/>
    </row>
    <row r="124" spans="1:15" ht="15" customHeight="1" x14ac:dyDescent="0.2">
      <c r="A124" s="189"/>
      <c r="B124" s="20"/>
      <c r="C124" s="511" t="s">
        <v>377</v>
      </c>
      <c r="D124" s="265"/>
      <c r="E124" s="265"/>
      <c r="F124" s="7"/>
      <c r="G124" s="634"/>
      <c r="H124" s="576"/>
      <c r="O124" s="50"/>
    </row>
    <row r="125" spans="1:15" ht="15" customHeight="1" x14ac:dyDescent="0.2">
      <c r="A125" s="189"/>
      <c r="B125" s="190" t="s">
        <v>362</v>
      </c>
      <c r="C125" s="364" t="s">
        <v>98</v>
      </c>
      <c r="D125" s="424"/>
      <c r="E125" s="426">
        <v>6</v>
      </c>
      <c r="F125" s="572" t="s">
        <v>7</v>
      </c>
      <c r="G125" s="633">
        <v>6</v>
      </c>
      <c r="H125" s="607">
        <f t="shared" ref="H125:H142" si="7">G125-E125</f>
        <v>0</v>
      </c>
      <c r="O125" s="50"/>
    </row>
    <row r="126" spans="1:15" ht="15" customHeight="1" x14ac:dyDescent="0.2">
      <c r="A126" s="189"/>
      <c r="B126" s="190" t="s">
        <v>362</v>
      </c>
      <c r="C126" s="364" t="s">
        <v>158</v>
      </c>
      <c r="D126" s="424"/>
      <c r="E126" s="426">
        <v>4</v>
      </c>
      <c r="F126" s="572" t="s">
        <v>7</v>
      </c>
      <c r="G126" s="633">
        <v>4</v>
      </c>
      <c r="H126" s="607">
        <f t="shared" si="7"/>
        <v>0</v>
      </c>
      <c r="O126" s="50"/>
    </row>
    <row r="127" spans="1:15" ht="15" customHeight="1" x14ac:dyDescent="0.2">
      <c r="A127" s="189"/>
      <c r="B127" s="20"/>
      <c r="C127" s="487" t="s">
        <v>159</v>
      </c>
      <c r="D127" s="246"/>
      <c r="E127" s="427">
        <f>E125*E126</f>
        <v>24</v>
      </c>
      <c r="F127" s="554" t="s">
        <v>7</v>
      </c>
      <c r="G127" s="633">
        <f>G125*G126</f>
        <v>24</v>
      </c>
      <c r="H127" s="607">
        <f t="shared" si="7"/>
        <v>0</v>
      </c>
      <c r="O127" s="50"/>
    </row>
    <row r="128" spans="1:15" ht="15" customHeight="1" x14ac:dyDescent="0.2">
      <c r="A128" s="189"/>
      <c r="B128" s="753"/>
      <c r="C128" s="518" t="s">
        <v>455</v>
      </c>
      <c r="D128" s="519"/>
      <c r="E128" s="520">
        <f>E118/E125</f>
        <v>1</v>
      </c>
      <c r="F128" s="562" t="s">
        <v>2</v>
      </c>
      <c r="G128" s="627">
        <f>G118/G125</f>
        <v>1</v>
      </c>
      <c r="H128" s="607">
        <f t="shared" si="7"/>
        <v>0</v>
      </c>
      <c r="O128" s="50"/>
    </row>
    <row r="129" spans="1:15" ht="15" customHeight="1" x14ac:dyDescent="0.2">
      <c r="A129" s="189"/>
      <c r="B129" s="753"/>
      <c r="C129" s="311" t="s">
        <v>456</v>
      </c>
      <c r="D129" s="123"/>
      <c r="E129" s="124">
        <f>E121/E126</f>
        <v>1.1300000000000001</v>
      </c>
      <c r="F129" s="519" t="s">
        <v>2</v>
      </c>
      <c r="G129" s="619">
        <f>G121/G126</f>
        <v>1.1300000000000001</v>
      </c>
      <c r="H129" s="607">
        <f t="shared" si="7"/>
        <v>0</v>
      </c>
      <c r="O129" s="50"/>
    </row>
    <row r="130" spans="1:15" ht="15" customHeight="1" x14ac:dyDescent="0.2">
      <c r="A130" s="189"/>
      <c r="B130" s="20"/>
      <c r="C130" s="311" t="s">
        <v>157</v>
      </c>
      <c r="D130" s="123"/>
      <c r="E130" s="124">
        <f>E172*E127</f>
        <v>5.4353683476770964</v>
      </c>
      <c r="F130" s="768" t="s">
        <v>14</v>
      </c>
      <c r="G130" s="619">
        <f>G172*G127</f>
        <v>5.4353683476770964</v>
      </c>
      <c r="H130" s="607">
        <f t="shared" si="7"/>
        <v>0</v>
      </c>
      <c r="O130" s="50"/>
    </row>
    <row r="131" spans="1:15" ht="15" customHeight="1" x14ac:dyDescent="0.2">
      <c r="A131" s="189"/>
      <c r="B131" s="753" t="s">
        <v>433</v>
      </c>
      <c r="C131" s="161" t="s">
        <v>307</v>
      </c>
      <c r="D131" s="7"/>
      <c r="E131" s="385">
        <v>2</v>
      </c>
      <c r="F131" s="7" t="s">
        <v>7</v>
      </c>
      <c r="G131" s="618">
        <v>2</v>
      </c>
      <c r="H131" s="607">
        <f>G131-E131</f>
        <v>0</v>
      </c>
      <c r="O131" s="50"/>
    </row>
    <row r="132" spans="1:15" ht="15" customHeight="1" x14ac:dyDescent="0.2">
      <c r="A132" s="189"/>
      <c r="B132" s="753" t="s">
        <v>433</v>
      </c>
      <c r="C132" s="493" t="s">
        <v>540</v>
      </c>
      <c r="D132" s="429"/>
      <c r="E132" s="428">
        <v>1.3</v>
      </c>
      <c r="F132" s="573" t="s">
        <v>2</v>
      </c>
      <c r="G132" s="619">
        <v>1.3</v>
      </c>
      <c r="H132" s="607">
        <f>G132-E132</f>
        <v>0</v>
      </c>
      <c r="O132" s="50"/>
    </row>
    <row r="133" spans="1:15" ht="15" customHeight="1" x14ac:dyDescent="0.2">
      <c r="A133" s="189"/>
      <c r="B133" s="753"/>
      <c r="C133" s="491" t="s">
        <v>537</v>
      </c>
      <c r="D133" s="143"/>
      <c r="E133" s="385">
        <f>'Tuberías Varias'!E27</f>
        <v>2.4700150932972185</v>
      </c>
      <c r="F133" s="507" t="s">
        <v>2</v>
      </c>
      <c r="G133" s="642">
        <f>'Tuberías Varias'!G27</f>
        <v>2.4700150932971314</v>
      </c>
      <c r="H133" s="607">
        <f>G133-E133</f>
        <v>-8.7041485130612273E-14</v>
      </c>
      <c r="O133" s="50"/>
    </row>
    <row r="134" spans="1:15" ht="15" customHeight="1" x14ac:dyDescent="0.2">
      <c r="A134" s="189"/>
      <c r="B134" s="755"/>
      <c r="C134" s="775" t="s">
        <v>545</v>
      </c>
      <c r="D134" s="805" t="s">
        <v>542</v>
      </c>
      <c r="E134" s="806">
        <f>E132+E133</f>
        <v>3.7700150932972187</v>
      </c>
      <c r="F134" s="807" t="s">
        <v>2</v>
      </c>
      <c r="G134" s="642">
        <f>G132+G133</f>
        <v>3.7700150932971317</v>
      </c>
      <c r="H134" s="607">
        <f>G134-E134</f>
        <v>-8.7041485130612273E-14</v>
      </c>
      <c r="O134" s="50"/>
    </row>
    <row r="135" spans="1:15" ht="15" customHeight="1" x14ac:dyDescent="0.2">
      <c r="A135" s="189"/>
      <c r="B135" s="761" t="s">
        <v>544</v>
      </c>
      <c r="C135" s="491" t="s">
        <v>543</v>
      </c>
      <c r="D135" s="143"/>
      <c r="E135" s="385">
        <f>E137^2/19.6</f>
        <v>3.7699102849263708</v>
      </c>
      <c r="F135" s="507" t="s">
        <v>2</v>
      </c>
      <c r="G135" s="619">
        <f>G137^2/19.6</f>
        <v>3.769910284922585</v>
      </c>
      <c r="H135" s="607">
        <f t="shared" si="7"/>
        <v>-3.7858605139717838E-12</v>
      </c>
      <c r="O135" s="50"/>
    </row>
    <row r="136" spans="1:15" ht="15" customHeight="1" x14ac:dyDescent="0.2">
      <c r="A136" s="189"/>
      <c r="B136" s="190" t="s">
        <v>329</v>
      </c>
      <c r="C136" s="161" t="s">
        <v>338</v>
      </c>
      <c r="D136" s="7"/>
      <c r="E136" s="65">
        <v>1.3864396983070637</v>
      </c>
      <c r="F136" s="7" t="s">
        <v>14</v>
      </c>
      <c r="G136" s="619">
        <v>1.3864396983063676</v>
      </c>
      <c r="H136" s="607">
        <f>G136-E136</f>
        <v>-6.9610983643997315E-13</v>
      </c>
      <c r="O136" s="50"/>
    </row>
    <row r="137" spans="1:15" ht="15" customHeight="1" x14ac:dyDescent="0.2">
      <c r="A137" s="189"/>
      <c r="B137" s="190"/>
      <c r="C137" s="491" t="s">
        <v>538</v>
      </c>
      <c r="D137" s="143"/>
      <c r="E137" s="385">
        <f>1000*0.5*E136/'Parrilla de Aireación'!E14</f>
        <v>8.5959433213904379</v>
      </c>
      <c r="F137" s="507" t="s">
        <v>4</v>
      </c>
      <c r="G137" s="619">
        <f>1000*0.5*G136/('Parrilla de Aireación'!G14)</f>
        <v>8.5959433213861214</v>
      </c>
      <c r="H137" s="607">
        <f t="shared" si="7"/>
        <v>-4.3165471197426086E-12</v>
      </c>
      <c r="O137" s="50"/>
    </row>
    <row r="138" spans="1:15" ht="15" customHeight="1" x14ac:dyDescent="0.2">
      <c r="A138" s="189"/>
      <c r="B138" s="20"/>
      <c r="C138" s="598" t="s">
        <v>539</v>
      </c>
      <c r="D138" s="334"/>
      <c r="E138" s="550">
        <f>E130+E136</f>
        <v>6.8218080459841604</v>
      </c>
      <c r="F138" s="334" t="s">
        <v>14</v>
      </c>
      <c r="G138" s="625">
        <f>G130+G136</f>
        <v>6.821808045983464</v>
      </c>
      <c r="H138" s="607">
        <f t="shared" si="7"/>
        <v>-6.9633188104489818E-13</v>
      </c>
      <c r="O138" s="50"/>
    </row>
    <row r="139" spans="1:15" ht="15" customHeight="1" x14ac:dyDescent="0.2">
      <c r="A139" s="189"/>
      <c r="B139" s="753" t="s">
        <v>53</v>
      </c>
      <c r="C139" s="777" t="s">
        <v>52</v>
      </c>
      <c r="D139" s="778"/>
      <c r="E139" s="452">
        <v>0.6</v>
      </c>
      <c r="F139" s="414"/>
      <c r="G139" s="635">
        <v>0.6</v>
      </c>
      <c r="H139" s="607">
        <f t="shared" si="7"/>
        <v>0</v>
      </c>
      <c r="O139" s="50"/>
    </row>
    <row r="140" spans="1:15" ht="15" customHeight="1" x14ac:dyDescent="0.2">
      <c r="A140" s="189"/>
      <c r="B140" s="20"/>
      <c r="C140" s="598" t="s">
        <v>54</v>
      </c>
      <c r="D140" s="334"/>
      <c r="E140" s="550">
        <f>9.81*0.001*E138*E134/E139</f>
        <v>0.42049452050491498</v>
      </c>
      <c r="F140" s="334" t="s">
        <v>18</v>
      </c>
      <c r="G140" s="619">
        <f>9.81*0.001*G138*G134/G139</f>
        <v>0.42049452050486236</v>
      </c>
      <c r="H140" s="607">
        <f t="shared" si="7"/>
        <v>-5.262457136723242E-14</v>
      </c>
      <c r="O140" s="50"/>
    </row>
    <row r="141" spans="1:15" ht="15" customHeight="1" x14ac:dyDescent="0.2">
      <c r="A141" s="189"/>
      <c r="B141" s="190" t="s">
        <v>362</v>
      </c>
      <c r="C141" s="494" t="s">
        <v>334</v>
      </c>
      <c r="D141" s="430"/>
      <c r="E141" s="804">
        <v>0.6</v>
      </c>
      <c r="F141" s="430"/>
      <c r="G141" s="635">
        <v>0.6</v>
      </c>
      <c r="H141" s="607">
        <f t="shared" si="7"/>
        <v>0</v>
      </c>
      <c r="O141" s="50"/>
    </row>
    <row r="142" spans="1:15" ht="15" customHeight="1" x14ac:dyDescent="0.2">
      <c r="A142" s="189"/>
      <c r="B142" s="20"/>
      <c r="C142" s="311" t="s">
        <v>152</v>
      </c>
      <c r="D142" s="123"/>
      <c r="E142" s="294">
        <f>E141*E140*24*364</f>
        <v>2204.0640786785625</v>
      </c>
      <c r="F142" s="519" t="s">
        <v>91</v>
      </c>
      <c r="G142" s="618">
        <f>G141*G140*24*364</f>
        <v>2204.0640786782865</v>
      </c>
      <c r="H142" s="607">
        <f t="shared" si="7"/>
        <v>-2.7603164198808372E-10</v>
      </c>
      <c r="O142" s="50"/>
    </row>
    <row r="143" spans="1:15" ht="24" customHeight="1" x14ac:dyDescent="0.2">
      <c r="A143" s="189"/>
      <c r="B143" s="20"/>
      <c r="C143" s="599" t="s">
        <v>461</v>
      </c>
      <c r="D143" s="406"/>
      <c r="E143" s="51"/>
      <c r="F143" s="7"/>
      <c r="G143" s="618"/>
      <c r="H143" s="581"/>
      <c r="O143" s="50"/>
    </row>
    <row r="144" spans="1:15" ht="15" customHeight="1" x14ac:dyDescent="0.2">
      <c r="A144" s="189"/>
      <c r="B144" s="759"/>
      <c r="C144" s="517" t="s">
        <v>454</v>
      </c>
      <c r="D144" s="61"/>
      <c r="E144" s="51"/>
      <c r="F144" s="7"/>
      <c r="G144" s="609"/>
      <c r="H144" s="584"/>
      <c r="K144" s="58"/>
      <c r="O144" s="50"/>
    </row>
    <row r="145" spans="1:15" ht="15" customHeight="1" x14ac:dyDescent="0.2">
      <c r="A145" s="189"/>
      <c r="B145" s="106" t="s">
        <v>363</v>
      </c>
      <c r="C145" s="311" t="s">
        <v>407</v>
      </c>
      <c r="D145" s="116"/>
      <c r="E145" s="131">
        <f>E13*'Suministro de Alimento y O2'!AB34</f>
        <v>1315.1617539735605</v>
      </c>
      <c r="F145" s="519" t="s">
        <v>183</v>
      </c>
      <c r="G145" s="643">
        <f>E13*'Suministro de Alimento y O2'!AB34</f>
        <v>1315.1617539735605</v>
      </c>
      <c r="H145" s="607">
        <f t="shared" ref="H145:H158" si="8">G145-E145</f>
        <v>0</v>
      </c>
      <c r="K145" s="58"/>
      <c r="O145" s="50"/>
    </row>
    <row r="146" spans="1:15" ht="15" customHeight="1" x14ac:dyDescent="0.2">
      <c r="A146" s="189"/>
      <c r="B146" s="106" t="s">
        <v>450</v>
      </c>
      <c r="C146" s="788" t="s">
        <v>480</v>
      </c>
      <c r="D146" s="789"/>
      <c r="E146" s="795">
        <v>600</v>
      </c>
      <c r="F146" s="791" t="s">
        <v>31</v>
      </c>
      <c r="G146" s="618">
        <v>600</v>
      </c>
      <c r="H146" s="607">
        <f t="shared" si="8"/>
        <v>0</v>
      </c>
      <c r="K146" s="58"/>
      <c r="O146" s="50"/>
    </row>
    <row r="147" spans="1:15" ht="15" customHeight="1" x14ac:dyDescent="0.2">
      <c r="A147" s="189"/>
      <c r="B147" s="106"/>
      <c r="C147" s="161" t="s">
        <v>483</v>
      </c>
      <c r="D147" s="265"/>
      <c r="E147" s="521">
        <f>(E99+E101*(E116/E146))/(E99+E101)</f>
        <v>0.84615384615384626</v>
      </c>
      <c r="F147" s="7"/>
      <c r="G147" s="644">
        <f>(G99+G101*(G116/G146))/(G99+G101)</f>
        <v>0.84615384615384626</v>
      </c>
      <c r="H147" s="607">
        <f t="shared" si="8"/>
        <v>0</v>
      </c>
      <c r="K147" s="58"/>
      <c r="O147" s="50"/>
    </row>
    <row r="148" spans="1:15" ht="15" customHeight="1" x14ac:dyDescent="0.2">
      <c r="A148" s="189"/>
      <c r="B148" s="106"/>
      <c r="C148" s="311" t="s">
        <v>481</v>
      </c>
      <c r="D148" s="522"/>
      <c r="E148" s="523">
        <f>E116/E147</f>
        <v>236.36363636363635</v>
      </c>
      <c r="F148" s="519" t="s">
        <v>31</v>
      </c>
      <c r="G148" s="645">
        <f>G116/G147</f>
        <v>236.36363636363635</v>
      </c>
      <c r="H148" s="607">
        <f t="shared" si="8"/>
        <v>0</v>
      </c>
      <c r="K148" s="58"/>
      <c r="O148" s="50"/>
    </row>
    <row r="149" spans="1:15" ht="15" customHeight="1" x14ac:dyDescent="0.2">
      <c r="A149" s="189"/>
      <c r="B149" s="106"/>
      <c r="C149" s="600" t="s">
        <v>484</v>
      </c>
      <c r="D149" s="549"/>
      <c r="E149" s="550">
        <f>E145/E148</f>
        <v>5.5641458821958336</v>
      </c>
      <c r="F149" s="610" t="s">
        <v>150</v>
      </c>
      <c r="G149" s="625">
        <f>G145/G148</f>
        <v>5.5641458821958336</v>
      </c>
      <c r="H149" s="607">
        <f t="shared" si="8"/>
        <v>0</v>
      </c>
      <c r="K149" s="58"/>
      <c r="O149" s="50"/>
    </row>
    <row r="150" spans="1:15" ht="15" customHeight="1" x14ac:dyDescent="0.2">
      <c r="A150" s="189"/>
      <c r="B150" s="753" t="s">
        <v>306</v>
      </c>
      <c r="C150" s="788" t="s">
        <v>232</v>
      </c>
      <c r="D150" s="789"/>
      <c r="E150" s="790">
        <f>8.07/15.17</f>
        <v>0.53197099538562953</v>
      </c>
      <c r="F150" s="791"/>
      <c r="G150" s="646">
        <f>8.07/15.17</f>
        <v>0.53197099538562953</v>
      </c>
      <c r="H150" s="607">
        <f t="shared" si="8"/>
        <v>0</v>
      </c>
      <c r="K150" s="58"/>
      <c r="O150" s="50"/>
    </row>
    <row r="151" spans="1:15" ht="15" customHeight="1" x14ac:dyDescent="0.2">
      <c r="A151" s="189"/>
      <c r="B151" s="17" t="s">
        <v>231</v>
      </c>
      <c r="C151" s="489" t="s">
        <v>230</v>
      </c>
      <c r="D151" s="130"/>
      <c r="E151" s="130">
        <f>E90+E95*E150</f>
        <v>0.33320975609756098</v>
      </c>
      <c r="F151" s="611"/>
      <c r="G151" s="634">
        <f>G90+G95*G150</f>
        <v>0.33320975609756098</v>
      </c>
      <c r="H151" s="607">
        <f t="shared" si="8"/>
        <v>0</v>
      </c>
      <c r="K151" s="58"/>
      <c r="O151" s="50"/>
    </row>
    <row r="152" spans="1:15" ht="15" customHeight="1" x14ac:dyDescent="0.2">
      <c r="A152" s="189"/>
      <c r="B152" s="106" t="s">
        <v>450</v>
      </c>
      <c r="C152" s="788" t="s">
        <v>238</v>
      </c>
      <c r="D152" s="789"/>
      <c r="E152" s="792">
        <v>0.6</v>
      </c>
      <c r="F152" s="791"/>
      <c r="G152" s="630">
        <v>0.6</v>
      </c>
      <c r="H152" s="607">
        <f t="shared" si="8"/>
        <v>0</v>
      </c>
      <c r="K152" s="58"/>
      <c r="O152" s="50"/>
    </row>
    <row r="153" spans="1:15" ht="15" customHeight="1" x14ac:dyDescent="0.2">
      <c r="A153" s="189"/>
      <c r="B153" s="20"/>
      <c r="C153" s="161" t="s">
        <v>229</v>
      </c>
      <c r="D153" s="265"/>
      <c r="E153" s="265">
        <f>(1+E152)*E151</f>
        <v>0.53313560975609764</v>
      </c>
      <c r="F153" s="7"/>
      <c r="G153" s="634">
        <f>(1+G152)*G151</f>
        <v>0.53313560975609764</v>
      </c>
      <c r="H153" s="607">
        <f t="shared" si="8"/>
        <v>0</v>
      </c>
      <c r="K153" s="58"/>
      <c r="O153" s="50"/>
    </row>
    <row r="154" spans="1:15" ht="15" customHeight="1" x14ac:dyDescent="0.2">
      <c r="A154" s="189"/>
      <c r="B154" s="190" t="s">
        <v>362</v>
      </c>
      <c r="C154" s="364" t="s">
        <v>460</v>
      </c>
      <c r="D154" s="424"/>
      <c r="E154" s="425">
        <v>4</v>
      </c>
      <c r="F154" s="572" t="s">
        <v>2</v>
      </c>
      <c r="G154" s="627">
        <v>4</v>
      </c>
      <c r="H154" s="607">
        <f t="shared" si="8"/>
        <v>0</v>
      </c>
      <c r="K154" s="58"/>
      <c r="O154" s="50"/>
    </row>
    <row r="155" spans="1:15" ht="15" customHeight="1" x14ac:dyDescent="0.2">
      <c r="A155" s="189"/>
      <c r="C155" s="220" t="s">
        <v>459</v>
      </c>
      <c r="D155" s="7"/>
      <c r="E155" s="12">
        <f>E121</f>
        <v>4.5200000000000005</v>
      </c>
      <c r="F155" s="11" t="s">
        <v>2</v>
      </c>
      <c r="G155" s="627">
        <f>G121</f>
        <v>4.5200000000000005</v>
      </c>
      <c r="H155" s="607">
        <f t="shared" si="8"/>
        <v>0</v>
      </c>
      <c r="K155" s="58"/>
      <c r="O155" s="50"/>
    </row>
    <row r="156" spans="1:15" ht="15" customHeight="1" x14ac:dyDescent="0.2">
      <c r="A156" s="189"/>
      <c r="B156" s="759"/>
      <c r="C156" s="516" t="s">
        <v>458</v>
      </c>
      <c r="D156" s="261"/>
      <c r="E156" s="262">
        <f>E154*E155</f>
        <v>18.080000000000002</v>
      </c>
      <c r="F156" s="565" t="s">
        <v>3</v>
      </c>
      <c r="G156" s="625">
        <f>G154*G155</f>
        <v>18.080000000000002</v>
      </c>
      <c r="H156" s="607">
        <f t="shared" si="8"/>
        <v>0</v>
      </c>
      <c r="K156" s="58"/>
      <c r="O156" s="50"/>
    </row>
    <row r="157" spans="1:15" ht="15" customHeight="1" x14ac:dyDescent="0.2">
      <c r="A157" s="189"/>
      <c r="B157" s="758"/>
      <c r="C157" s="311" t="s">
        <v>482</v>
      </c>
      <c r="D157" s="116"/>
      <c r="E157" s="117">
        <f>E149/E156</f>
        <v>0.30775143153738016</v>
      </c>
      <c r="F157" s="519" t="s">
        <v>2</v>
      </c>
      <c r="G157" s="625">
        <f>G149/G156</f>
        <v>0.30775143153738016</v>
      </c>
      <c r="H157" s="607">
        <f t="shared" si="8"/>
        <v>0</v>
      </c>
      <c r="K157" s="58"/>
      <c r="O157" s="50"/>
    </row>
    <row r="158" spans="1:15" ht="15" customHeight="1" x14ac:dyDescent="0.2">
      <c r="A158" s="189"/>
      <c r="B158" s="753" t="s">
        <v>433</v>
      </c>
      <c r="C158" s="597" t="s">
        <v>457</v>
      </c>
      <c r="D158" s="165" t="str">
        <f>IF(E157&gt;E158,"insuficiente","suficiente")</f>
        <v>suficiente</v>
      </c>
      <c r="E158" s="60">
        <v>0.4</v>
      </c>
      <c r="F158" s="571" t="s">
        <v>2</v>
      </c>
      <c r="G158" s="627">
        <v>0.4</v>
      </c>
      <c r="H158" s="607">
        <f t="shared" si="8"/>
        <v>0</v>
      </c>
      <c r="K158" s="58"/>
      <c r="O158" s="50"/>
    </row>
    <row r="159" spans="1:15" ht="15" customHeight="1" x14ac:dyDescent="0.2">
      <c r="A159" s="189"/>
      <c r="B159" s="759"/>
      <c r="C159" s="511" t="s">
        <v>541</v>
      </c>
      <c r="D159" s="265"/>
      <c r="E159" s="265"/>
      <c r="F159" s="7"/>
      <c r="G159" s="634"/>
      <c r="H159" s="656"/>
      <c r="K159" s="58"/>
      <c r="O159" s="50"/>
    </row>
    <row r="160" spans="1:15" ht="15" customHeight="1" x14ac:dyDescent="0.2">
      <c r="A160" s="189"/>
      <c r="B160" s="190" t="s">
        <v>362</v>
      </c>
      <c r="C160" s="364" t="s">
        <v>98</v>
      </c>
      <c r="D160" s="424"/>
      <c r="E160" s="426">
        <v>5</v>
      </c>
      <c r="F160" s="572" t="s">
        <v>7</v>
      </c>
      <c r="G160" s="633">
        <v>5</v>
      </c>
      <c r="H160" s="607">
        <f t="shared" ref="H160:H179" si="9">G160-E160</f>
        <v>0</v>
      </c>
      <c r="K160" s="58"/>
      <c r="O160" s="50"/>
    </row>
    <row r="161" spans="1:15" ht="15" customHeight="1" x14ac:dyDescent="0.2">
      <c r="A161" s="189"/>
      <c r="B161" s="190" t="s">
        <v>362</v>
      </c>
      <c r="C161" s="364" t="s">
        <v>158</v>
      </c>
      <c r="D161" s="424"/>
      <c r="E161" s="426">
        <v>5</v>
      </c>
      <c r="F161" s="572" t="s">
        <v>7</v>
      </c>
      <c r="G161" s="633">
        <v>5</v>
      </c>
      <c r="H161" s="607">
        <f t="shared" si="9"/>
        <v>0</v>
      </c>
      <c r="K161" s="58"/>
      <c r="O161" s="50"/>
    </row>
    <row r="162" spans="1:15" ht="15" customHeight="1" x14ac:dyDescent="0.2">
      <c r="A162" s="189"/>
      <c r="B162" s="759"/>
      <c r="C162" s="220" t="s">
        <v>159</v>
      </c>
      <c r="D162" s="7"/>
      <c r="E162" s="98">
        <f>E160*E161</f>
        <v>25</v>
      </c>
      <c r="F162" s="11" t="s">
        <v>7</v>
      </c>
      <c r="G162" s="633">
        <f>G160*G161</f>
        <v>25</v>
      </c>
      <c r="H162" s="607">
        <f t="shared" si="9"/>
        <v>0</v>
      </c>
      <c r="K162" s="58"/>
      <c r="O162" s="50"/>
    </row>
    <row r="163" spans="1:15" ht="15" customHeight="1" x14ac:dyDescent="0.2">
      <c r="A163" s="189"/>
      <c r="B163" s="753"/>
      <c r="C163" s="518" t="s">
        <v>455</v>
      </c>
      <c r="D163" s="519"/>
      <c r="E163" s="520">
        <f>E154/E160</f>
        <v>0.8</v>
      </c>
      <c r="F163" s="562" t="s">
        <v>2</v>
      </c>
      <c r="G163" s="627">
        <f>G154/G160</f>
        <v>0.8</v>
      </c>
      <c r="H163" s="607">
        <f t="shared" si="9"/>
        <v>0</v>
      </c>
      <c r="K163" s="58"/>
      <c r="O163" s="50"/>
    </row>
    <row r="164" spans="1:15" ht="15" customHeight="1" x14ac:dyDescent="0.2">
      <c r="A164" s="189"/>
      <c r="B164" s="753"/>
      <c r="C164" s="311" t="s">
        <v>456</v>
      </c>
      <c r="D164" s="519"/>
      <c r="E164" s="520">
        <f>E155/E161</f>
        <v>0.90400000000000014</v>
      </c>
      <c r="F164" s="562" t="s">
        <v>2</v>
      </c>
      <c r="G164" s="627">
        <f>G155/G161</f>
        <v>0.90400000000000014</v>
      </c>
      <c r="H164" s="607">
        <f t="shared" si="9"/>
        <v>0</v>
      </c>
      <c r="K164" s="58"/>
      <c r="O164" s="50"/>
    </row>
    <row r="165" spans="1:15" ht="15" customHeight="1" x14ac:dyDescent="0.2">
      <c r="A165" s="189"/>
      <c r="B165" s="20"/>
      <c r="C165" s="601" t="s">
        <v>12</v>
      </c>
      <c r="D165" s="513" t="s">
        <v>13</v>
      </c>
      <c r="E165" s="478">
        <v>0.57999999999999996</v>
      </c>
      <c r="F165" s="612"/>
      <c r="G165" s="647">
        <v>0.57999999999999996</v>
      </c>
      <c r="H165" s="607">
        <f t="shared" si="9"/>
        <v>0</v>
      </c>
      <c r="K165" s="58"/>
      <c r="O165" s="50"/>
    </row>
    <row r="166" spans="1:15" ht="15" customHeight="1" x14ac:dyDescent="0.2">
      <c r="A166" s="189"/>
      <c r="B166" s="753" t="s">
        <v>426</v>
      </c>
      <c r="C166" s="602" t="s">
        <v>8</v>
      </c>
      <c r="D166" s="512" t="s">
        <v>42</v>
      </c>
      <c r="E166" s="431">
        <f>25.4/2</f>
        <v>12.7</v>
      </c>
      <c r="F166" s="613" t="s">
        <v>9</v>
      </c>
      <c r="G166" s="648">
        <f>25.4/2</f>
        <v>12.7</v>
      </c>
      <c r="H166" s="607">
        <f t="shared" si="9"/>
        <v>0</v>
      </c>
      <c r="K166" s="58"/>
      <c r="O166" s="50"/>
    </row>
    <row r="167" spans="1:15" ht="15" customHeight="1" x14ac:dyDescent="0.2">
      <c r="A167" s="189"/>
      <c r="B167" s="753" t="s">
        <v>426</v>
      </c>
      <c r="C167" s="602" t="s">
        <v>156</v>
      </c>
      <c r="D167" s="512" t="s">
        <v>519</v>
      </c>
      <c r="E167" s="431">
        <f>25.4/8</f>
        <v>3.1749999999999998</v>
      </c>
      <c r="F167" s="613" t="s">
        <v>9</v>
      </c>
      <c r="G167" s="648">
        <f>25.4/8</f>
        <v>3.1749999999999998</v>
      </c>
      <c r="H167" s="607">
        <f t="shared" si="9"/>
        <v>0</v>
      </c>
      <c r="K167" s="58"/>
      <c r="O167" s="50"/>
    </row>
    <row r="168" spans="1:15" ht="15" customHeight="1" x14ac:dyDescent="0.2">
      <c r="A168" s="189"/>
      <c r="B168" s="760"/>
      <c r="C168" s="220" t="s">
        <v>475</v>
      </c>
      <c r="D168" s="7"/>
      <c r="E168" s="12">
        <f>0.25*3.14*(E166^2-E167^2)</f>
        <v>118.699359375</v>
      </c>
      <c r="F168" s="11" t="s">
        <v>10</v>
      </c>
      <c r="G168" s="627">
        <f>0.25*3.14*(G166^2-G167^2)</f>
        <v>118.699359375</v>
      </c>
      <c r="H168" s="607">
        <f t="shared" si="9"/>
        <v>0</v>
      </c>
      <c r="K168" s="58"/>
      <c r="O168" s="50"/>
    </row>
    <row r="169" spans="1:15" ht="15" customHeight="1" x14ac:dyDescent="0.2">
      <c r="A169" s="189"/>
      <c r="B169" s="760"/>
      <c r="C169" s="161" t="s">
        <v>63</v>
      </c>
      <c r="D169" s="29"/>
      <c r="E169" s="12">
        <f>0.001*E172/(E165*E168/1000000)</f>
        <v>3.2895869540767078</v>
      </c>
      <c r="F169" s="7" t="s">
        <v>4</v>
      </c>
      <c r="G169" s="627">
        <f>0.001*G172/(G165*G168/1000000)</f>
        <v>3.2895869540767078</v>
      </c>
      <c r="H169" s="607">
        <f t="shared" si="9"/>
        <v>0</v>
      </c>
      <c r="K169" s="58"/>
      <c r="O169" s="50"/>
    </row>
    <row r="170" spans="1:15" ht="15" customHeight="1" x14ac:dyDescent="0.2">
      <c r="A170" s="189"/>
      <c r="B170" s="760"/>
      <c r="C170" s="161" t="s">
        <v>160</v>
      </c>
      <c r="D170" s="29"/>
      <c r="E170" s="290">
        <f>E169^2/19.6</f>
        <v>0.55211134328733014</v>
      </c>
      <c r="F170" s="289" t="s">
        <v>2</v>
      </c>
      <c r="G170" s="649">
        <f>G169^2/19.6</f>
        <v>0.55211134328733014</v>
      </c>
      <c r="H170" s="607">
        <f t="shared" si="9"/>
        <v>0</v>
      </c>
      <c r="K170" s="58"/>
      <c r="O170" s="50"/>
    </row>
    <row r="171" spans="1:15" ht="15" customHeight="1" x14ac:dyDescent="0.2">
      <c r="A171" s="189"/>
      <c r="B171" s="753" t="s">
        <v>445</v>
      </c>
      <c r="C171" s="161" t="s">
        <v>151</v>
      </c>
      <c r="D171" s="29"/>
      <c r="E171" s="290">
        <f>'Tubería hacia Filtro'!E3</f>
        <v>0.49784770328443689</v>
      </c>
      <c r="F171" s="289" t="s">
        <v>2</v>
      </c>
      <c r="G171" s="649">
        <f>'Tubería hacia Filtro'!E3</f>
        <v>0.49784770328443689</v>
      </c>
      <c r="H171" s="607">
        <f t="shared" si="9"/>
        <v>0</v>
      </c>
      <c r="K171" s="58"/>
      <c r="O171" s="50"/>
    </row>
    <row r="172" spans="1:15" ht="15" customHeight="1" x14ac:dyDescent="0.2">
      <c r="A172" s="189"/>
      <c r="B172" s="190" t="s">
        <v>329</v>
      </c>
      <c r="C172" s="482" t="s">
        <v>161</v>
      </c>
      <c r="D172" s="423" t="str">
        <f>IF(ABS(E174-1.05)&gt;0.005,"Aplicar Función Objetivo"," ")</f>
        <v xml:space="preserve"> </v>
      </c>
      <c r="E172" s="128">
        <v>0.22647368115321237</v>
      </c>
      <c r="F172" s="557" t="s">
        <v>14</v>
      </c>
      <c r="G172" s="619">
        <v>0.22647368115321237</v>
      </c>
      <c r="H172" s="607">
        <f t="shared" si="9"/>
        <v>0</v>
      </c>
      <c r="K172" s="58"/>
      <c r="O172" s="50"/>
    </row>
    <row r="173" spans="1:15" ht="15" customHeight="1" x14ac:dyDescent="0.2">
      <c r="A173" s="189"/>
      <c r="B173" s="753" t="s">
        <v>433</v>
      </c>
      <c r="C173" s="364" t="s">
        <v>327</v>
      </c>
      <c r="D173" s="515" t="s">
        <v>444</v>
      </c>
      <c r="E173" s="297">
        <v>1.05</v>
      </c>
      <c r="F173" s="514" t="s">
        <v>2</v>
      </c>
      <c r="G173" s="649">
        <v>1.05</v>
      </c>
      <c r="H173" s="607">
        <f t="shared" si="9"/>
        <v>0</v>
      </c>
      <c r="K173" s="58"/>
      <c r="O173" s="50"/>
    </row>
    <row r="174" spans="1:15" ht="15" customHeight="1" x14ac:dyDescent="0.2">
      <c r="A174" s="189"/>
      <c r="B174" s="761" t="s">
        <v>443</v>
      </c>
      <c r="C174" s="161" t="s">
        <v>327</v>
      </c>
      <c r="D174" s="499" t="str">
        <f>IF(ABS(E174-E173)&gt;0.02,"ejecutar función objetivo"," ")</f>
        <v xml:space="preserve"> </v>
      </c>
      <c r="E174" s="290">
        <f>E170+E171</f>
        <v>1.049959046571767</v>
      </c>
      <c r="F174" s="289" t="s">
        <v>2</v>
      </c>
      <c r="G174" s="649">
        <f>G170+G171</f>
        <v>1.049959046571767</v>
      </c>
      <c r="H174" s="607">
        <f t="shared" si="9"/>
        <v>0</v>
      </c>
      <c r="K174" s="58"/>
      <c r="O174" s="50"/>
    </row>
    <row r="175" spans="1:15" ht="15" customHeight="1" x14ac:dyDescent="0.2">
      <c r="A175" s="189"/>
      <c r="B175" s="20"/>
      <c r="C175" s="220" t="s">
        <v>175</v>
      </c>
      <c r="D175" s="7"/>
      <c r="E175" s="12">
        <f>E162*E172</f>
        <v>5.6618420288303088</v>
      </c>
      <c r="F175" s="11" t="s">
        <v>14</v>
      </c>
      <c r="G175" s="627">
        <f>G162*G172</f>
        <v>5.6618420288303088</v>
      </c>
      <c r="H175" s="607">
        <f>G175-E175</f>
        <v>0</v>
      </c>
      <c r="K175" s="58"/>
      <c r="O175" s="50"/>
    </row>
    <row r="176" spans="1:15" ht="15" customHeight="1" x14ac:dyDescent="0.2">
      <c r="A176" s="189"/>
      <c r="B176" s="20"/>
      <c r="C176" s="337" t="s">
        <v>531</v>
      </c>
      <c r="D176" s="7"/>
      <c r="E176" s="98">
        <f>2*E17</f>
        <v>322.25274200507954</v>
      </c>
      <c r="F176" s="22" t="s">
        <v>23</v>
      </c>
      <c r="G176" s="633">
        <f>2*G17</f>
        <v>322.25274200507954</v>
      </c>
      <c r="H176" s="607">
        <f t="shared" si="9"/>
        <v>0</v>
      </c>
      <c r="K176" s="58"/>
      <c r="O176" s="50"/>
    </row>
    <row r="177" spans="1:15" ht="15" customHeight="1" x14ac:dyDescent="0.2">
      <c r="A177" s="189"/>
      <c r="B177" s="20"/>
      <c r="C177" s="311" t="s">
        <v>529</v>
      </c>
      <c r="D177" s="123"/>
      <c r="E177" s="124">
        <f>E176/(E175*3.6)</f>
        <v>15.810163918589504</v>
      </c>
      <c r="F177" s="519" t="s">
        <v>70</v>
      </c>
      <c r="G177" s="619">
        <f>G176/(G175*3.6)</f>
        <v>15.810163918589504</v>
      </c>
      <c r="H177" s="607">
        <f t="shared" si="9"/>
        <v>0</v>
      </c>
      <c r="K177" s="58"/>
      <c r="O177" s="50"/>
    </row>
    <row r="178" spans="1:15" ht="15" customHeight="1" x14ac:dyDescent="0.2">
      <c r="A178" s="189"/>
      <c r="B178" s="20"/>
      <c r="C178" s="161" t="s">
        <v>530</v>
      </c>
      <c r="D178" s="406"/>
      <c r="E178" s="65">
        <f>E105/2</f>
        <v>3.5</v>
      </c>
      <c r="F178" s="7" t="s">
        <v>97</v>
      </c>
      <c r="G178" s="619">
        <f>G105/2</f>
        <v>3.5</v>
      </c>
      <c r="H178" s="607">
        <f t="shared" si="9"/>
        <v>0</v>
      </c>
      <c r="K178" s="58"/>
      <c r="O178" s="50"/>
    </row>
    <row r="179" spans="1:15" ht="15" customHeight="1" x14ac:dyDescent="0.2">
      <c r="A179" s="189"/>
      <c r="B179" s="20"/>
      <c r="C179" s="311" t="s">
        <v>527</v>
      </c>
      <c r="D179" s="123"/>
      <c r="E179" s="124">
        <f>24*E178/E177</f>
        <v>5.3130378933790343</v>
      </c>
      <c r="F179" s="519"/>
      <c r="G179" s="619">
        <f>24*G178/G177</f>
        <v>5.3130378933790343</v>
      </c>
      <c r="H179" s="607">
        <f t="shared" si="9"/>
        <v>0</v>
      </c>
      <c r="K179" s="58"/>
      <c r="O179" s="50"/>
    </row>
    <row r="180" spans="1:15" ht="15" customHeight="1" x14ac:dyDescent="0.2">
      <c r="A180" s="189"/>
      <c r="B180" s="762"/>
      <c r="C180" s="511" t="s">
        <v>528</v>
      </c>
      <c r="D180" s="61"/>
      <c r="E180" s="51"/>
      <c r="F180" s="7"/>
      <c r="G180" s="618"/>
      <c r="H180" s="657"/>
      <c r="K180" s="58"/>
      <c r="O180" s="50"/>
    </row>
    <row r="181" spans="1:15" ht="15" customHeight="1" x14ac:dyDescent="0.2">
      <c r="A181" s="189"/>
      <c r="B181" s="753" t="s">
        <v>433</v>
      </c>
      <c r="C181" s="604" t="s">
        <v>333</v>
      </c>
      <c r="D181" s="424"/>
      <c r="E181" s="426">
        <v>8</v>
      </c>
      <c r="F181" s="572" t="s">
        <v>7</v>
      </c>
      <c r="G181" s="633">
        <v>8</v>
      </c>
      <c r="H181" s="607">
        <f t="shared" ref="H181:H192" si="10">G181-E181</f>
        <v>0</v>
      </c>
      <c r="K181" s="58"/>
      <c r="O181" s="50"/>
    </row>
    <row r="182" spans="1:15" ht="15" customHeight="1" x14ac:dyDescent="0.2">
      <c r="A182" s="189"/>
      <c r="B182" s="190" t="s">
        <v>362</v>
      </c>
      <c r="C182" s="493" t="s">
        <v>532</v>
      </c>
      <c r="D182" s="424"/>
      <c r="E182" s="426">
        <v>12</v>
      </c>
      <c r="F182" s="572" t="s">
        <v>4</v>
      </c>
      <c r="G182" s="633">
        <v>12</v>
      </c>
      <c r="H182" s="607">
        <f t="shared" si="10"/>
        <v>0</v>
      </c>
      <c r="K182" s="58"/>
      <c r="O182" s="50"/>
    </row>
    <row r="183" spans="1:15" ht="15" customHeight="1" x14ac:dyDescent="0.2">
      <c r="A183" s="189"/>
      <c r="B183" s="753"/>
      <c r="C183" s="775" t="s">
        <v>602</v>
      </c>
      <c r="D183" s="519"/>
      <c r="E183" s="124">
        <f>E181*1000*'Parab Tilapias '!E182*'Parrilla de Aireación'!E14/1000000</f>
        <v>7.7419200000000004</v>
      </c>
      <c r="F183" s="562" t="s">
        <v>14</v>
      </c>
      <c r="G183" s="642">
        <f>G181*1000*'Parab Tilapias '!G182*'Parrilla de Aireación'!G14/1000000</f>
        <v>7.7419200000000004</v>
      </c>
      <c r="H183" s="607">
        <f t="shared" si="10"/>
        <v>0</v>
      </c>
      <c r="K183" s="58"/>
      <c r="O183" s="50"/>
    </row>
    <row r="184" spans="1:15" ht="15" customHeight="1" x14ac:dyDescent="0.2">
      <c r="A184" s="189"/>
      <c r="B184" s="755" t="s">
        <v>359</v>
      </c>
      <c r="C184" s="491" t="s">
        <v>534</v>
      </c>
      <c r="D184" s="143"/>
      <c r="E184" s="385">
        <f>'Tuberías Varias'!E3</f>
        <v>2.8771410177280679</v>
      </c>
      <c r="F184" s="507" t="s">
        <v>2</v>
      </c>
      <c r="G184" s="642">
        <f>'Tuberías Varias'!E3</f>
        <v>2.8771410177280679</v>
      </c>
      <c r="H184" s="607">
        <f t="shared" si="10"/>
        <v>0</v>
      </c>
      <c r="K184" s="58"/>
      <c r="O184" s="50"/>
    </row>
    <row r="185" spans="1:15" ht="15" customHeight="1" x14ac:dyDescent="0.2">
      <c r="A185" s="189"/>
      <c r="B185" s="753"/>
      <c r="C185" s="337" t="s">
        <v>512</v>
      </c>
      <c r="D185" s="7"/>
      <c r="E185" s="65">
        <f>E182^2/19.6</f>
        <v>7.3469387755102034</v>
      </c>
      <c r="F185" s="22" t="s">
        <v>2</v>
      </c>
      <c r="G185" s="619">
        <f>G182^2/19.6</f>
        <v>7.3469387755102034</v>
      </c>
      <c r="H185" s="607">
        <f t="shared" si="10"/>
        <v>0</v>
      </c>
      <c r="K185" s="58"/>
      <c r="O185" s="50"/>
    </row>
    <row r="186" spans="1:15" ht="15" customHeight="1" x14ac:dyDescent="0.2">
      <c r="A186" s="189"/>
      <c r="B186" s="753" t="s">
        <v>433</v>
      </c>
      <c r="C186" s="493" t="s">
        <v>202</v>
      </c>
      <c r="D186" s="429"/>
      <c r="E186" s="428">
        <v>2.2400000000000002</v>
      </c>
      <c r="F186" s="573" t="s">
        <v>2</v>
      </c>
      <c r="G186" s="619">
        <v>2.2400000000000002</v>
      </c>
      <c r="H186" s="607">
        <f t="shared" si="10"/>
        <v>0</v>
      </c>
      <c r="K186" s="58"/>
      <c r="O186" s="50"/>
    </row>
    <row r="187" spans="1:15" ht="15" customHeight="1" x14ac:dyDescent="0.2">
      <c r="A187" s="189"/>
      <c r="B187" s="20"/>
      <c r="C187" s="598" t="s">
        <v>201</v>
      </c>
      <c r="D187" s="334"/>
      <c r="E187" s="335">
        <f>SUM(E184:E186)</f>
        <v>12.464079793238271</v>
      </c>
      <c r="F187" s="334" t="s">
        <v>2</v>
      </c>
      <c r="G187" s="619">
        <f>SUM(G184:G186)</f>
        <v>12.464079793238271</v>
      </c>
      <c r="H187" s="607">
        <f t="shared" si="10"/>
        <v>0</v>
      </c>
      <c r="K187" s="58"/>
      <c r="O187" s="50"/>
    </row>
    <row r="188" spans="1:15" ht="15" customHeight="1" x14ac:dyDescent="0.2">
      <c r="A188" s="189"/>
      <c r="B188" s="20"/>
      <c r="C188" s="603" t="s">
        <v>533</v>
      </c>
      <c r="D188" s="500"/>
      <c r="E188" s="776">
        <f>E175/E183</f>
        <v>0.73132272470269755</v>
      </c>
      <c r="F188" s="500"/>
      <c r="G188" s="630">
        <f>G175/G183</f>
        <v>0.73132272470269755</v>
      </c>
      <c r="H188" s="607">
        <f>G188-E188</f>
        <v>0</v>
      </c>
      <c r="K188" s="58"/>
      <c r="O188" s="50"/>
    </row>
    <row r="189" spans="1:15" ht="15" customHeight="1" x14ac:dyDescent="0.2">
      <c r="A189" s="189"/>
      <c r="B189" s="753" t="s">
        <v>53</v>
      </c>
      <c r="C189" s="777" t="s">
        <v>52</v>
      </c>
      <c r="D189" s="778"/>
      <c r="E189" s="452">
        <v>0.6</v>
      </c>
      <c r="F189" s="414"/>
      <c r="G189" s="630">
        <v>0.6</v>
      </c>
      <c r="H189" s="607">
        <f t="shared" si="10"/>
        <v>0</v>
      </c>
      <c r="K189" s="58"/>
      <c r="O189" s="50"/>
    </row>
    <row r="190" spans="1:15" ht="15" customHeight="1" x14ac:dyDescent="0.2">
      <c r="A190" s="189"/>
      <c r="B190" s="20"/>
      <c r="C190" s="779" t="s">
        <v>54</v>
      </c>
      <c r="D190" s="780"/>
      <c r="E190" s="784">
        <f>9.81*0.001*E183*E187/E189</f>
        <v>1.5777081061473794</v>
      </c>
      <c r="F190" s="780" t="s">
        <v>18</v>
      </c>
      <c r="G190" s="619">
        <f>9.81*0.001*G183*G187/G189</f>
        <v>1.5777081061473794</v>
      </c>
      <c r="H190" s="607">
        <f t="shared" si="10"/>
        <v>0</v>
      </c>
      <c r="K190" s="58"/>
      <c r="O190" s="50"/>
    </row>
    <row r="191" spans="1:15" ht="15" customHeight="1" x14ac:dyDescent="0.2">
      <c r="A191" s="189"/>
      <c r="B191" s="20"/>
      <c r="C191" s="781"/>
      <c r="D191" s="782"/>
      <c r="E191" s="431">
        <f>E190/0.746</f>
        <v>2.1148902227176669</v>
      </c>
      <c r="F191" s="783" t="s">
        <v>55</v>
      </c>
      <c r="G191" s="619">
        <f>G190/0.746</f>
        <v>2.1148902227176669</v>
      </c>
      <c r="H191" s="607">
        <f t="shared" si="10"/>
        <v>0</v>
      </c>
      <c r="K191" s="58"/>
      <c r="O191" s="50"/>
    </row>
    <row r="192" spans="1:15" ht="15" customHeight="1" x14ac:dyDescent="0.2">
      <c r="A192" s="189"/>
      <c r="B192" s="271"/>
      <c r="C192" s="311" t="s">
        <v>467</v>
      </c>
      <c r="D192" s="123"/>
      <c r="E192" s="294">
        <f>E188*E190*24*364</f>
        <v>10079.717277942174</v>
      </c>
      <c r="F192" s="519" t="s">
        <v>91</v>
      </c>
      <c r="G192" s="618">
        <f>G188*G190*24*364</f>
        <v>10079.717277942174</v>
      </c>
      <c r="H192" s="607">
        <f t="shared" si="10"/>
        <v>0</v>
      </c>
      <c r="K192" s="58"/>
      <c r="O192" s="50"/>
    </row>
    <row r="193" spans="1:15" ht="23.25" customHeight="1" x14ac:dyDescent="0.25">
      <c r="A193" s="189"/>
      <c r="C193" s="580" t="s">
        <v>605</v>
      </c>
      <c r="E193" s="38"/>
      <c r="F193" s="38"/>
      <c r="G193" s="650"/>
      <c r="H193" s="581"/>
      <c r="K193" s="58"/>
      <c r="O193" s="50"/>
    </row>
    <row r="194" spans="1:15" ht="15" customHeight="1" x14ac:dyDescent="0.25">
      <c r="A194" s="189"/>
      <c r="C194" s="517" t="s">
        <v>223</v>
      </c>
      <c r="D194" s="7"/>
      <c r="E194" s="737"/>
      <c r="F194" s="738"/>
      <c r="G194" s="650"/>
      <c r="H194" s="581"/>
      <c r="K194" s="58"/>
      <c r="O194" s="50"/>
    </row>
    <row r="195" spans="1:15" ht="15" customHeight="1" x14ac:dyDescent="0.2">
      <c r="A195" s="189"/>
      <c r="B195" s="20"/>
      <c r="C195" s="498" t="s">
        <v>78</v>
      </c>
      <c r="D195" s="52"/>
      <c r="E195" s="56">
        <f>'Suministro de Alimento y O2'!K35</f>
        <v>5493.2325000000001</v>
      </c>
      <c r="F195" s="32" t="s">
        <v>89</v>
      </c>
      <c r="G195" s="618">
        <f>'Suministro de Alimento y O2'!K35</f>
        <v>5493.2325000000001</v>
      </c>
      <c r="H195" s="607">
        <f>G195-E195</f>
        <v>0</v>
      </c>
      <c r="K195" s="58"/>
      <c r="O195" s="50"/>
    </row>
    <row r="196" spans="1:15" ht="15" customHeight="1" x14ac:dyDescent="0.2">
      <c r="A196" s="189"/>
      <c r="B196" s="271"/>
      <c r="C196" s="498" t="s">
        <v>223</v>
      </c>
      <c r="D196" s="52"/>
      <c r="E196" s="57">
        <f>E13*12*E195/(1000*E19)</f>
        <v>65.918790000000001</v>
      </c>
      <c r="F196" s="32" t="s">
        <v>214</v>
      </c>
      <c r="G196" s="622">
        <f>G13*12*G195/(1000*G19)</f>
        <v>65.918790000000001</v>
      </c>
      <c r="H196" s="607">
        <f>G196-E196</f>
        <v>0</v>
      </c>
      <c r="K196" s="58"/>
      <c r="O196" s="50"/>
    </row>
    <row r="197" spans="1:15" ht="15" customHeight="1" x14ac:dyDescent="0.2">
      <c r="A197" s="189"/>
      <c r="B197" s="106" t="s">
        <v>363</v>
      </c>
      <c r="C197" s="482" t="s">
        <v>465</v>
      </c>
      <c r="D197" s="126"/>
      <c r="E197" s="128">
        <f>E13*365*'Suministro de Alimento y O2'!AB35/(1000*E196)/E104</f>
        <v>1.4422420816904931</v>
      </c>
      <c r="F197" s="560" t="s">
        <v>466</v>
      </c>
      <c r="G197" s="619">
        <f>G13*365*'Suministro de Alimento y O2'!AB35/(1000*G196)/G104</f>
        <v>1.4422420816904931</v>
      </c>
      <c r="H197" s="607">
        <f>G197-E197</f>
        <v>0</v>
      </c>
      <c r="K197" s="58"/>
      <c r="O197" s="50"/>
    </row>
    <row r="198" spans="1:15" ht="15" customHeight="1" x14ac:dyDescent="0.25">
      <c r="A198" s="189"/>
      <c r="B198" s="99"/>
      <c r="C198" s="517" t="s">
        <v>535</v>
      </c>
      <c r="D198" s="7"/>
      <c r="E198" s="737"/>
      <c r="F198" s="738"/>
      <c r="G198" s="650"/>
      <c r="H198" s="581"/>
      <c r="K198" s="58"/>
      <c r="O198" s="50"/>
    </row>
    <row r="199" spans="1:15" ht="15" customHeight="1" x14ac:dyDescent="0.2">
      <c r="A199" s="189"/>
      <c r="B199" s="106" t="s">
        <v>363</v>
      </c>
      <c r="C199" s="495" t="s">
        <v>112</v>
      </c>
      <c r="D199" s="25"/>
      <c r="E199" s="26">
        <f>'Suministro de Alimento y O2'!E32</f>
        <v>178.32395955620393</v>
      </c>
      <c r="F199" s="614" t="s">
        <v>214</v>
      </c>
      <c r="G199" s="621">
        <f>'Suministro de Alimento y O2'!E32</f>
        <v>178.32395955620393</v>
      </c>
      <c r="H199" s="607">
        <f t="shared" ref="H199:H211" si="11">G199-E199</f>
        <v>0</v>
      </c>
      <c r="K199" s="58"/>
      <c r="O199" s="50"/>
    </row>
    <row r="200" spans="1:15" ht="15" customHeight="1" x14ac:dyDescent="0.2">
      <c r="A200" s="189"/>
      <c r="B200" s="763" t="s">
        <v>440</v>
      </c>
      <c r="C200" s="543" t="s">
        <v>321</v>
      </c>
      <c r="D200" s="544"/>
      <c r="E200" s="545">
        <v>100</v>
      </c>
      <c r="F200" s="612" t="s">
        <v>113</v>
      </c>
      <c r="G200" s="651">
        <v>100</v>
      </c>
      <c r="H200" s="607">
        <f t="shared" si="11"/>
        <v>0</v>
      </c>
      <c r="K200" s="58"/>
      <c r="O200" s="50"/>
    </row>
    <row r="201" spans="1:15" ht="15" customHeight="1" x14ac:dyDescent="0.2">
      <c r="A201" s="189"/>
      <c r="B201" s="763" t="s">
        <v>440</v>
      </c>
      <c r="C201" s="543" t="s">
        <v>322</v>
      </c>
      <c r="D201" s="544"/>
      <c r="E201" s="545">
        <v>17</v>
      </c>
      <c r="F201" s="612" t="s">
        <v>113</v>
      </c>
      <c r="G201" s="651">
        <v>17</v>
      </c>
      <c r="H201" s="607">
        <f t="shared" si="11"/>
        <v>0</v>
      </c>
      <c r="K201" s="58"/>
      <c r="O201" s="50"/>
    </row>
    <row r="202" spans="1:15" ht="15" customHeight="1" x14ac:dyDescent="0.2">
      <c r="A202" s="189"/>
      <c r="B202" s="227"/>
      <c r="C202" s="546" t="s">
        <v>473</v>
      </c>
      <c r="D202" s="547"/>
      <c r="E202" s="548">
        <f>E200+E201</f>
        <v>117</v>
      </c>
      <c r="F202" s="615" t="s">
        <v>113</v>
      </c>
      <c r="G202" s="747">
        <f>G200+G201</f>
        <v>117</v>
      </c>
      <c r="H202" s="607">
        <f t="shared" si="11"/>
        <v>0</v>
      </c>
      <c r="K202" s="58"/>
      <c r="O202" s="50"/>
    </row>
    <row r="203" spans="1:15" ht="15" customHeight="1" x14ac:dyDescent="0.2">
      <c r="A203" s="189"/>
      <c r="B203" s="99"/>
      <c r="C203" s="541"/>
      <c r="D203" s="24"/>
      <c r="E203" s="542">
        <f>E202*1000/365</f>
        <v>320.54794520547944</v>
      </c>
      <c r="F203" s="24" t="s">
        <v>114</v>
      </c>
      <c r="G203" s="652">
        <f>G202*1000/365</f>
        <v>320.54794520547944</v>
      </c>
      <c r="H203" s="607">
        <f t="shared" si="11"/>
        <v>0</v>
      </c>
      <c r="K203" s="58"/>
      <c r="O203" s="50"/>
    </row>
    <row r="204" spans="1:15" ht="15" customHeight="1" x14ac:dyDescent="0.2">
      <c r="A204" s="189"/>
      <c r="B204" s="753"/>
      <c r="C204" s="496" t="s">
        <v>603</v>
      </c>
      <c r="D204" s="417"/>
      <c r="E204" s="479">
        <f>E199/E202</f>
        <v>1.5241364064632814</v>
      </c>
      <c r="F204" s="616" t="s">
        <v>115</v>
      </c>
      <c r="G204" s="653">
        <f>G199/G202</f>
        <v>1.5241364064632814</v>
      </c>
      <c r="H204" s="607">
        <f t="shared" si="11"/>
        <v>0</v>
      </c>
      <c r="K204" s="58"/>
      <c r="O204" s="50"/>
    </row>
    <row r="205" spans="1:15" ht="15" customHeight="1" x14ac:dyDescent="0.2">
      <c r="A205" s="189"/>
      <c r="B205" s="753" t="s">
        <v>433</v>
      </c>
      <c r="C205" s="495" t="s">
        <v>604</v>
      </c>
      <c r="D205" s="25"/>
      <c r="E205" s="40">
        <v>0.12</v>
      </c>
      <c r="F205" s="614" t="s">
        <v>115</v>
      </c>
      <c r="G205" s="653">
        <v>0.12</v>
      </c>
      <c r="H205" s="607">
        <f t="shared" si="11"/>
        <v>0</v>
      </c>
      <c r="K205" s="58"/>
      <c r="O205" s="50"/>
    </row>
    <row r="206" spans="1:15" ht="15" customHeight="1" x14ac:dyDescent="0.2">
      <c r="A206" s="189"/>
      <c r="B206" s="254"/>
      <c r="C206" s="490" t="s">
        <v>116</v>
      </c>
      <c r="D206" s="28"/>
      <c r="E206" s="60">
        <v>0.2</v>
      </c>
      <c r="F206" s="571" t="s">
        <v>115</v>
      </c>
      <c r="G206" s="627">
        <v>0.2</v>
      </c>
      <c r="H206" s="607">
        <f t="shared" si="11"/>
        <v>0</v>
      </c>
      <c r="K206" s="58"/>
      <c r="O206" s="50"/>
    </row>
    <row r="207" spans="1:15" ht="15" customHeight="1" x14ac:dyDescent="0.2">
      <c r="A207" s="189"/>
      <c r="B207" s="20"/>
      <c r="C207" s="497" t="s">
        <v>117</v>
      </c>
      <c r="D207" s="421"/>
      <c r="E207" s="422">
        <f>SUM(E204:E206)</f>
        <v>1.8441364064632813</v>
      </c>
      <c r="F207" s="421" t="s">
        <v>115</v>
      </c>
      <c r="G207" s="619">
        <f>SUM(G204:G206)</f>
        <v>1.8441364064632813</v>
      </c>
      <c r="H207" s="607">
        <f t="shared" si="11"/>
        <v>0</v>
      </c>
      <c r="K207" s="58"/>
      <c r="O207" s="50"/>
    </row>
    <row r="208" spans="1:15" ht="15" customHeight="1" x14ac:dyDescent="0.2">
      <c r="A208" s="189"/>
      <c r="B208" s="20"/>
      <c r="C208" s="161" t="s">
        <v>79</v>
      </c>
      <c r="D208" s="20"/>
      <c r="E208" s="55">
        <f>E196</f>
        <v>65.918790000000001</v>
      </c>
      <c r="F208" s="7" t="s">
        <v>453</v>
      </c>
      <c r="G208" s="653">
        <f>G196</f>
        <v>65.918790000000001</v>
      </c>
      <c r="H208" s="607">
        <f t="shared" si="11"/>
        <v>0</v>
      </c>
      <c r="K208" s="58"/>
      <c r="O208" s="50"/>
    </row>
    <row r="209" spans="1:15" ht="15" customHeight="1" x14ac:dyDescent="0.2">
      <c r="A209" s="189"/>
      <c r="B209" s="20"/>
      <c r="C209" s="498" t="s">
        <v>118</v>
      </c>
      <c r="D209" s="32"/>
      <c r="E209" s="266">
        <f>E208/E207</f>
        <v>35.745072744602595</v>
      </c>
      <c r="F209" s="32" t="s">
        <v>113</v>
      </c>
      <c r="G209" s="619">
        <f>G208/G207</f>
        <v>35.745072744602595</v>
      </c>
      <c r="H209" s="607">
        <f t="shared" si="11"/>
        <v>0</v>
      </c>
      <c r="K209" s="58"/>
      <c r="O209" s="50"/>
    </row>
    <row r="210" spans="1:15" ht="15" customHeight="1" x14ac:dyDescent="0.2">
      <c r="A210" s="189"/>
      <c r="B210" s="20"/>
      <c r="C210" s="785" t="s">
        <v>240</v>
      </c>
      <c r="D210" s="786"/>
      <c r="E210" s="787">
        <v>1</v>
      </c>
      <c r="F210" s="786" t="s">
        <v>113</v>
      </c>
      <c r="G210" s="652">
        <v>1</v>
      </c>
      <c r="H210" s="607">
        <f t="shared" si="11"/>
        <v>0</v>
      </c>
      <c r="K210" s="58"/>
      <c r="O210" s="50"/>
    </row>
    <row r="211" spans="1:15" ht="33" customHeight="1" x14ac:dyDescent="0.2">
      <c r="A211" s="189"/>
      <c r="B211" s="764" t="s">
        <v>363</v>
      </c>
      <c r="C211" s="311" t="s">
        <v>448</v>
      </c>
      <c r="D211" s="506"/>
      <c r="E211" s="551">
        <f>365*('Suministro de Alimento y O2'!AB32+'Suministro de Alimento y O2'!AB33)/(E104*1000*'Parab Tilapias '!E208)</f>
        <v>0.72112104084524664</v>
      </c>
      <c r="F211" s="617" t="s">
        <v>449</v>
      </c>
      <c r="G211" s="654">
        <f>365*('Suministro de Alimento y O2'!AB32+'Suministro de Alimento y O2'!AB33)/(G104*1000*'Parab Tilapias '!G208)</f>
        <v>0.72112104084524664</v>
      </c>
      <c r="H211" s="608">
        <f t="shared" si="11"/>
        <v>0</v>
      </c>
      <c r="K211" s="58"/>
      <c r="O211" s="50"/>
    </row>
    <row r="212" spans="1:15" ht="15" customHeight="1" x14ac:dyDescent="0.25">
      <c r="A212" s="189"/>
      <c r="B212" s="99"/>
      <c r="C212" s="517" t="s">
        <v>536</v>
      </c>
      <c r="E212" s="582"/>
      <c r="F212" s="38"/>
      <c r="G212" s="655"/>
      <c r="H212" s="581"/>
      <c r="K212" s="58"/>
      <c r="O212" s="50"/>
    </row>
    <row r="213" spans="1:15" ht="15" customHeight="1" x14ac:dyDescent="0.2">
      <c r="A213" s="189"/>
      <c r="B213" s="254"/>
      <c r="C213" s="495" t="s">
        <v>606</v>
      </c>
      <c r="D213" s="25"/>
      <c r="E213" s="169">
        <f>E13*E20*E17</f>
        <v>1933.5164520304772</v>
      </c>
      <c r="F213" s="614" t="s">
        <v>122</v>
      </c>
      <c r="G213" s="621">
        <f>E13*G20*G17</f>
        <v>1933.5164520304772</v>
      </c>
      <c r="H213" s="607">
        <f t="shared" ref="H213:H217" si="12">G213-E213</f>
        <v>0</v>
      </c>
      <c r="K213" s="58"/>
      <c r="O213" s="50"/>
    </row>
    <row r="214" spans="1:15" ht="15" customHeight="1" x14ac:dyDescent="0.2">
      <c r="A214" s="189"/>
      <c r="B214" s="20"/>
      <c r="C214" s="498" t="s">
        <v>425</v>
      </c>
      <c r="D214" s="32"/>
      <c r="E214" s="266">
        <f>E213/E196</f>
        <v>29.331795259446924</v>
      </c>
      <c r="F214" s="32" t="s">
        <v>123</v>
      </c>
      <c r="G214" s="619">
        <f>G213/G196</f>
        <v>29.331795259446924</v>
      </c>
      <c r="H214" s="607">
        <f t="shared" si="12"/>
        <v>0</v>
      </c>
      <c r="K214" s="58"/>
      <c r="O214" s="50"/>
    </row>
    <row r="215" spans="1:15" ht="15" customHeight="1" x14ac:dyDescent="0.2">
      <c r="A215" s="189"/>
      <c r="B215" s="20"/>
      <c r="C215" s="161" t="s">
        <v>434</v>
      </c>
      <c r="D215" s="20"/>
      <c r="E215" s="398">
        <f>E17</f>
        <v>161.12637100253977</v>
      </c>
      <c r="F215" s="7" t="s">
        <v>23</v>
      </c>
      <c r="G215" s="621">
        <f>G17</f>
        <v>161.12637100253977</v>
      </c>
      <c r="H215" s="607">
        <f t="shared" si="12"/>
        <v>0</v>
      </c>
      <c r="K215" s="58"/>
      <c r="O215" s="50"/>
    </row>
    <row r="216" spans="1:15" ht="15" customHeight="1" x14ac:dyDescent="0.2">
      <c r="A216" s="189"/>
      <c r="B216" s="20"/>
      <c r="C216" s="490" t="s">
        <v>435</v>
      </c>
      <c r="D216" s="28"/>
      <c r="E216" s="168">
        <v>3</v>
      </c>
      <c r="F216" s="571" t="s">
        <v>97</v>
      </c>
      <c r="G216" s="620">
        <v>3</v>
      </c>
      <c r="H216" s="607">
        <f t="shared" si="12"/>
        <v>0</v>
      </c>
      <c r="K216" s="58"/>
      <c r="O216" s="50"/>
    </row>
    <row r="217" spans="1:15" ht="15" customHeight="1" x14ac:dyDescent="0.2">
      <c r="A217" s="189"/>
      <c r="B217" s="20"/>
      <c r="C217" s="497" t="s">
        <v>225</v>
      </c>
      <c r="D217" s="419"/>
      <c r="E217" s="479">
        <f>E215/(E216*86.4)</f>
        <v>0.62162951775671194</v>
      </c>
      <c r="F217" s="421" t="s">
        <v>14</v>
      </c>
      <c r="G217" s="619">
        <f>G215/(G216*86.4)</f>
        <v>0.62162951775671194</v>
      </c>
      <c r="H217" s="607">
        <f t="shared" si="12"/>
        <v>0</v>
      </c>
      <c r="K217" s="58"/>
      <c r="O217" s="50"/>
    </row>
    <row r="218" spans="1:15" ht="15" customHeight="1" x14ac:dyDescent="0.25">
      <c r="A218" s="189"/>
      <c r="B218" s="20"/>
      <c r="C218" s="517" t="s">
        <v>576</v>
      </c>
      <c r="E218" s="582"/>
      <c r="F218" s="38"/>
      <c r="G218" s="655"/>
      <c r="H218" s="581"/>
      <c r="K218" s="58"/>
      <c r="O218" s="50"/>
    </row>
    <row r="219" spans="1:15" ht="15" customHeight="1" x14ac:dyDescent="0.2">
      <c r="A219" s="189"/>
      <c r="B219" s="765"/>
      <c r="C219" s="495" t="s">
        <v>420</v>
      </c>
      <c r="D219" s="25"/>
      <c r="E219" s="169">
        <f>E52</f>
        <v>26490.198744223355</v>
      </c>
      <c r="F219" s="614" t="s">
        <v>82</v>
      </c>
      <c r="G219" s="618">
        <f>G52</f>
        <v>26490.198744223078</v>
      </c>
      <c r="H219" s="607">
        <f t="shared" ref="H219:H223" si="13">G219-E219</f>
        <v>-2.7648638933897018E-10</v>
      </c>
      <c r="K219" s="58"/>
      <c r="O219" s="50"/>
    </row>
    <row r="220" spans="1:15" ht="15" customHeight="1" x14ac:dyDescent="0.2">
      <c r="A220" s="189"/>
      <c r="B220" s="765"/>
      <c r="C220" s="490" t="s">
        <v>124</v>
      </c>
      <c r="D220" s="28"/>
      <c r="E220" s="132">
        <v>1.5</v>
      </c>
      <c r="F220" s="571" t="s">
        <v>18</v>
      </c>
      <c r="G220" s="638">
        <v>1.5</v>
      </c>
      <c r="H220" s="607">
        <f t="shared" si="13"/>
        <v>0</v>
      </c>
      <c r="K220" s="58"/>
      <c r="O220" s="50"/>
    </row>
    <row r="221" spans="1:15" ht="15" customHeight="1" x14ac:dyDescent="0.2">
      <c r="A221" s="189"/>
      <c r="B221" s="254"/>
      <c r="C221" s="495" t="s">
        <v>125</v>
      </c>
      <c r="D221" s="25"/>
      <c r="E221" s="169">
        <f>E220*24*365</f>
        <v>13140</v>
      </c>
      <c r="F221" s="614" t="s">
        <v>82</v>
      </c>
      <c r="G221" s="618">
        <f>G220*24*365</f>
        <v>13140</v>
      </c>
      <c r="H221" s="607">
        <f t="shared" si="13"/>
        <v>0</v>
      </c>
      <c r="K221" s="58"/>
      <c r="O221" s="50"/>
    </row>
    <row r="222" spans="1:15" ht="15" customHeight="1" x14ac:dyDescent="0.2">
      <c r="A222" s="189"/>
      <c r="B222" s="254"/>
      <c r="C222" s="496" t="s">
        <v>424</v>
      </c>
      <c r="D222" s="417"/>
      <c r="E222" s="420">
        <f>E219+E221</f>
        <v>39630.198744223351</v>
      </c>
      <c r="F222" s="616" t="s">
        <v>82</v>
      </c>
      <c r="G222" s="618">
        <f>G219+G221</f>
        <v>39630.198744223075</v>
      </c>
      <c r="H222" s="607">
        <f t="shared" si="13"/>
        <v>-2.7648638933897018E-10</v>
      </c>
      <c r="K222" s="58"/>
      <c r="O222" s="50"/>
    </row>
    <row r="223" spans="1:15" ht="15" customHeight="1" x14ac:dyDescent="0.2">
      <c r="A223" s="189"/>
      <c r="B223" s="20"/>
      <c r="C223" s="498" t="s">
        <v>126</v>
      </c>
      <c r="D223" s="32"/>
      <c r="E223" s="266">
        <f>E222/(1000*E208)</f>
        <v>0.60119730268445992</v>
      </c>
      <c r="F223" s="32" t="s">
        <v>119</v>
      </c>
      <c r="G223" s="619">
        <f>G222/(1000*G208)</f>
        <v>0.6011973026844557</v>
      </c>
      <c r="H223" s="607">
        <f t="shared" si="13"/>
        <v>-4.2188474935755949E-15</v>
      </c>
      <c r="K223" s="58"/>
      <c r="O223" s="50"/>
    </row>
    <row r="224" spans="1:15" ht="15" customHeight="1" x14ac:dyDescent="0.25">
      <c r="A224" s="189"/>
      <c r="C224" s="517" t="s">
        <v>419</v>
      </c>
      <c r="E224" s="582"/>
      <c r="F224" s="38"/>
      <c r="G224" s="655"/>
      <c r="H224" s="583"/>
      <c r="K224" s="58"/>
      <c r="O224" s="50"/>
    </row>
    <row r="225" spans="1:8" x14ac:dyDescent="0.2">
      <c r="A225" s="189"/>
      <c r="B225" s="766" t="s">
        <v>363</v>
      </c>
      <c r="C225" s="496" t="s">
        <v>422</v>
      </c>
      <c r="D225" s="417"/>
      <c r="E225" s="418">
        <f>365*'Suministro de Alimento y O2'!Q75/1000000</f>
        <v>3.7536328318282686</v>
      </c>
      <c r="F225" s="616" t="s">
        <v>421</v>
      </c>
      <c r="G225" s="619">
        <f>365*'Suministro de Alimento y O2'!Q75/1000000</f>
        <v>3.7536328318282686</v>
      </c>
      <c r="H225" s="607">
        <f t="shared" ref="H225:H227" si="14">G225-E225</f>
        <v>0</v>
      </c>
    </row>
    <row r="226" spans="1:8" x14ac:dyDescent="0.2">
      <c r="A226" s="189"/>
      <c r="B226" s="766" t="s">
        <v>363</v>
      </c>
      <c r="C226" s="496" t="s">
        <v>553</v>
      </c>
      <c r="D226" s="417"/>
      <c r="E226" s="418">
        <f>365*'Suministro de Alimento y O2'!P75/1000000</f>
        <v>4.3093806242916664</v>
      </c>
      <c r="F226" s="616" t="s">
        <v>421</v>
      </c>
      <c r="G226" s="619">
        <f>365*'Suministro de Alimento y O2'!P75/1000000</f>
        <v>4.3093806242916664</v>
      </c>
      <c r="H226" s="607">
        <f t="shared" si="14"/>
        <v>0</v>
      </c>
    </row>
    <row r="227" spans="1:8" x14ac:dyDescent="0.2">
      <c r="A227" s="189"/>
      <c r="B227" s="106" t="s">
        <v>363</v>
      </c>
      <c r="C227" s="496" t="s">
        <v>423</v>
      </c>
      <c r="D227" s="417"/>
      <c r="E227" s="418">
        <f>365*'Suministro de Alimento y O2'!R75/1000000</f>
        <v>7.8443418154968247</v>
      </c>
      <c r="F227" s="616" t="s">
        <v>421</v>
      </c>
      <c r="G227" s="619">
        <f>365*'Suministro de Alimento y O2'!R75/1000000</f>
        <v>7.8443418154968247</v>
      </c>
      <c r="H227" s="607">
        <f t="shared" si="14"/>
        <v>0</v>
      </c>
    </row>
    <row r="228" spans="1:8" x14ac:dyDescent="0.2">
      <c r="C228" s="388"/>
    </row>
    <row r="229" spans="1:8" ht="15.75" customHeight="1" x14ac:dyDescent="0.2">
      <c r="C229" s="872" t="s">
        <v>485</v>
      </c>
      <c r="D229" s="873"/>
      <c r="E229"/>
      <c r="F229"/>
    </row>
    <row r="230" spans="1:8" ht="14.25" customHeight="1" x14ac:dyDescent="0.2">
      <c r="C230" s="868" t="s">
        <v>491</v>
      </c>
      <c r="D230" s="874"/>
      <c r="E230" s="867"/>
      <c r="F230" s="867"/>
    </row>
    <row r="231" spans="1:8" ht="14.25" customHeight="1" x14ac:dyDescent="0.2">
      <c r="C231" s="868" t="s">
        <v>492</v>
      </c>
      <c r="D231" s="874"/>
      <c r="E231" s="867"/>
      <c r="F231" s="867"/>
    </row>
    <row r="232" spans="1:8" ht="14.25" customHeight="1" x14ac:dyDescent="0.2">
      <c r="C232" s="868" t="s">
        <v>493</v>
      </c>
      <c r="D232" s="869"/>
      <c r="E232" s="869"/>
      <c r="F232" s="869"/>
    </row>
    <row r="233" spans="1:8" ht="14.25" customHeight="1" x14ac:dyDescent="0.2">
      <c r="C233" s="868" t="s">
        <v>494</v>
      </c>
      <c r="D233" s="874"/>
      <c r="E233" s="867"/>
      <c r="F233" s="867"/>
    </row>
    <row r="234" spans="1:8" ht="14.25" customHeight="1" x14ac:dyDescent="0.2">
      <c r="C234" s="868" t="s">
        <v>486</v>
      </c>
      <c r="D234" s="874"/>
      <c r="E234" s="867"/>
      <c r="F234" s="867"/>
    </row>
    <row r="235" spans="1:8" x14ac:dyDescent="0.2">
      <c r="C235" s="868" t="s">
        <v>517</v>
      </c>
      <c r="D235" s="867"/>
      <c r="E235" s="867"/>
      <c r="F235" s="867"/>
    </row>
    <row r="236" spans="1:8" ht="14.25" customHeight="1" x14ac:dyDescent="0.2">
      <c r="C236" s="868" t="s">
        <v>495</v>
      </c>
      <c r="D236" s="867"/>
      <c r="E236" s="867"/>
      <c r="F236" s="867"/>
    </row>
    <row r="237" spans="1:8" ht="14.25" customHeight="1" x14ac:dyDescent="0.2">
      <c r="C237" s="868" t="s">
        <v>503</v>
      </c>
      <c r="D237" s="867"/>
      <c r="E237" s="867"/>
      <c r="F237" s="867"/>
    </row>
    <row r="238" spans="1:8" ht="15" customHeight="1" x14ac:dyDescent="0.2">
      <c r="C238" s="868" t="s">
        <v>504</v>
      </c>
      <c r="D238" s="867"/>
      <c r="E238" s="867"/>
      <c r="F238" s="867"/>
    </row>
    <row r="239" spans="1:8" ht="15" customHeight="1" x14ac:dyDescent="0.2">
      <c r="C239" s="868" t="s">
        <v>496</v>
      </c>
      <c r="D239" s="867"/>
      <c r="E239" s="867"/>
      <c r="F239" s="867"/>
    </row>
    <row r="240" spans="1:8" ht="15" customHeight="1" x14ac:dyDescent="0.2">
      <c r="C240" s="868" t="s">
        <v>497</v>
      </c>
      <c r="D240" s="867"/>
      <c r="E240" s="867"/>
      <c r="F240" s="867"/>
    </row>
    <row r="241" spans="3:6" ht="14.25" customHeight="1" x14ac:dyDescent="0.2">
      <c r="C241" s="868" t="s">
        <v>518</v>
      </c>
      <c r="D241" s="867"/>
      <c r="E241" s="867"/>
      <c r="F241" s="867"/>
    </row>
    <row r="242" spans="3:6" ht="15" customHeight="1" x14ac:dyDescent="0.2">
      <c r="C242" s="868" t="s">
        <v>498</v>
      </c>
      <c r="D242" s="867"/>
      <c r="E242" s="867"/>
      <c r="F242" s="867"/>
    </row>
    <row r="243" spans="3:6" ht="15" customHeight="1" x14ac:dyDescent="0.2">
      <c r="C243" s="868" t="s">
        <v>505</v>
      </c>
      <c r="D243" s="867"/>
      <c r="E243" s="867"/>
      <c r="F243" s="867"/>
    </row>
    <row r="244" spans="3:6" ht="15" customHeight="1" x14ac:dyDescent="0.2">
      <c r="C244" s="868" t="s">
        <v>487</v>
      </c>
      <c r="D244" s="869"/>
      <c r="E244" s="869"/>
      <c r="F244" s="869"/>
    </row>
    <row r="245" spans="3:6" ht="15" customHeight="1" x14ac:dyDescent="0.2">
      <c r="C245" s="864" t="s">
        <v>488</v>
      </c>
      <c r="D245" s="864"/>
      <c r="E245" s="864"/>
      <c r="F245" s="864"/>
    </row>
    <row r="246" spans="3:6" ht="14.25" customHeight="1" x14ac:dyDescent="0.25">
      <c r="C246" s="864" t="s">
        <v>489</v>
      </c>
      <c r="D246" s="870"/>
      <c r="E246" s="870"/>
      <c r="F246" s="870"/>
    </row>
    <row r="247" spans="3:6" ht="15" customHeight="1" x14ac:dyDescent="0.25">
      <c r="C247" s="864" t="s">
        <v>499</v>
      </c>
      <c r="D247" s="865"/>
      <c r="E247" s="866"/>
      <c r="F247" s="866"/>
    </row>
    <row r="248" spans="3:6" ht="15" customHeight="1" x14ac:dyDescent="0.25">
      <c r="C248" s="864" t="s">
        <v>500</v>
      </c>
      <c r="D248" s="865"/>
      <c r="E248" s="866"/>
      <c r="F248" s="866"/>
    </row>
    <row r="249" spans="3:6" ht="15" customHeight="1" x14ac:dyDescent="0.2">
      <c r="C249" s="864" t="s">
        <v>501</v>
      </c>
      <c r="D249" s="867"/>
      <c r="E249" s="867"/>
      <c r="F249" s="867"/>
    </row>
    <row r="250" spans="3:6" ht="15" customHeight="1" x14ac:dyDescent="0.25">
      <c r="C250" s="864" t="s">
        <v>490</v>
      </c>
      <c r="D250" s="866"/>
      <c r="E250" s="866"/>
      <c r="F250" s="866"/>
    </row>
    <row r="251" spans="3:6" ht="15" customHeight="1" x14ac:dyDescent="0.25">
      <c r="C251" s="864" t="s">
        <v>506</v>
      </c>
      <c r="D251" s="865"/>
      <c r="E251" s="866"/>
      <c r="F251" s="866"/>
    </row>
    <row r="252" spans="3:6" x14ac:dyDescent="0.2">
      <c r="C252" s="388"/>
    </row>
    <row r="253" spans="3:6" x14ac:dyDescent="0.2">
      <c r="C253" s="388"/>
    </row>
    <row r="254" spans="3:6" x14ac:dyDescent="0.2">
      <c r="C254" s="388"/>
    </row>
    <row r="255" spans="3:6" x14ac:dyDescent="0.2">
      <c r="C255" s="388"/>
    </row>
    <row r="256" spans="3:6" x14ac:dyDescent="0.2">
      <c r="C256" s="388"/>
    </row>
    <row r="257" spans="3:3" x14ac:dyDescent="0.2">
      <c r="C257" s="388"/>
    </row>
    <row r="258" spans="3:3" x14ac:dyDescent="0.2">
      <c r="C258" s="388"/>
    </row>
    <row r="259" spans="3:3" x14ac:dyDescent="0.2">
      <c r="C259" s="388"/>
    </row>
    <row r="260" spans="3:3" x14ac:dyDescent="0.2">
      <c r="C260" s="388"/>
    </row>
    <row r="261" spans="3:3" x14ac:dyDescent="0.2">
      <c r="C261" s="388"/>
    </row>
    <row r="262" spans="3:3" x14ac:dyDescent="0.2">
      <c r="C262" s="388"/>
    </row>
    <row r="263" spans="3:3" x14ac:dyDescent="0.2">
      <c r="C263" s="388"/>
    </row>
    <row r="264" spans="3:3" x14ac:dyDescent="0.2">
      <c r="C264" s="388"/>
    </row>
    <row r="265" spans="3:3" x14ac:dyDescent="0.2">
      <c r="C265" s="388"/>
    </row>
    <row r="266" spans="3:3" x14ac:dyDescent="0.2">
      <c r="C266" s="388"/>
    </row>
    <row r="267" spans="3:3" x14ac:dyDescent="0.2">
      <c r="C267" s="388"/>
    </row>
    <row r="268" spans="3:3" x14ac:dyDescent="0.2">
      <c r="C268" s="388"/>
    </row>
    <row r="269" spans="3:3" x14ac:dyDescent="0.2">
      <c r="C269" s="388"/>
    </row>
    <row r="270" spans="3:3" x14ac:dyDescent="0.2">
      <c r="C270" s="388"/>
    </row>
    <row r="271" spans="3:3" x14ac:dyDescent="0.2">
      <c r="C271" s="388"/>
    </row>
    <row r="272" spans="3:3" x14ac:dyDescent="0.2">
      <c r="C272" s="388"/>
    </row>
    <row r="273" spans="3:3" x14ac:dyDescent="0.2">
      <c r="C273" s="388"/>
    </row>
    <row r="274" spans="3:3" x14ac:dyDescent="0.2">
      <c r="C274" s="388"/>
    </row>
    <row r="275" spans="3:3" x14ac:dyDescent="0.2">
      <c r="C275" s="388"/>
    </row>
    <row r="276" spans="3:3" x14ac:dyDescent="0.2">
      <c r="C276" s="388"/>
    </row>
    <row r="277" spans="3:3" x14ac:dyDescent="0.2">
      <c r="C277" s="388"/>
    </row>
    <row r="278" spans="3:3" x14ac:dyDescent="0.2">
      <c r="C278" s="388"/>
    </row>
    <row r="279" spans="3:3" x14ac:dyDescent="0.2">
      <c r="C279" s="388"/>
    </row>
    <row r="280" spans="3:3" x14ac:dyDescent="0.2">
      <c r="C280" s="388"/>
    </row>
    <row r="281" spans="3:3" x14ac:dyDescent="0.2">
      <c r="C281" s="388"/>
    </row>
    <row r="282" spans="3:3" x14ac:dyDescent="0.2">
      <c r="C282" s="388"/>
    </row>
    <row r="283" spans="3:3" x14ac:dyDescent="0.2">
      <c r="C283" s="388"/>
    </row>
    <row r="284" spans="3:3" x14ac:dyDescent="0.2">
      <c r="C284" s="388"/>
    </row>
    <row r="285" spans="3:3" x14ac:dyDescent="0.2">
      <c r="C285" s="388"/>
    </row>
    <row r="286" spans="3:3" x14ac:dyDescent="0.2">
      <c r="C286" s="388"/>
    </row>
    <row r="287" spans="3:3" x14ac:dyDescent="0.2">
      <c r="C287" s="388"/>
    </row>
    <row r="288" spans="3:3" x14ac:dyDescent="0.2">
      <c r="C288" s="388"/>
    </row>
    <row r="289" spans="3:3" x14ac:dyDescent="0.2">
      <c r="C289" s="388"/>
    </row>
    <row r="290" spans="3:3" x14ac:dyDescent="0.2">
      <c r="C290" s="388"/>
    </row>
    <row r="291" spans="3:3" x14ac:dyDescent="0.2">
      <c r="C291" s="388"/>
    </row>
    <row r="292" spans="3:3" x14ac:dyDescent="0.2">
      <c r="C292" s="388"/>
    </row>
    <row r="293" spans="3:3" x14ac:dyDescent="0.2">
      <c r="C293" s="388"/>
    </row>
    <row r="294" spans="3:3" x14ac:dyDescent="0.2">
      <c r="C294" s="388"/>
    </row>
    <row r="295" spans="3:3" x14ac:dyDescent="0.2">
      <c r="C295" s="388"/>
    </row>
    <row r="296" spans="3:3" x14ac:dyDescent="0.2">
      <c r="C296" s="388"/>
    </row>
    <row r="297" spans="3:3" x14ac:dyDescent="0.2">
      <c r="C297" s="388"/>
    </row>
    <row r="298" spans="3:3" x14ac:dyDescent="0.2">
      <c r="C298" s="388"/>
    </row>
    <row r="299" spans="3:3" x14ac:dyDescent="0.2">
      <c r="C299" s="388"/>
    </row>
    <row r="300" spans="3:3" x14ac:dyDescent="0.2">
      <c r="C300" s="388"/>
    </row>
    <row r="301" spans="3:3" x14ac:dyDescent="0.2">
      <c r="C301" s="388"/>
    </row>
    <row r="302" spans="3:3" x14ac:dyDescent="0.2">
      <c r="C302" s="388"/>
    </row>
    <row r="303" spans="3:3" x14ac:dyDescent="0.2">
      <c r="C303" s="388"/>
    </row>
    <row r="304" spans="3:3" x14ac:dyDescent="0.2">
      <c r="C304" s="388"/>
    </row>
    <row r="305" spans="3:3" x14ac:dyDescent="0.2">
      <c r="C305" s="388"/>
    </row>
    <row r="306" spans="3:3" x14ac:dyDescent="0.2">
      <c r="C306" s="388"/>
    </row>
    <row r="307" spans="3:3" x14ac:dyDescent="0.2">
      <c r="C307" s="388"/>
    </row>
    <row r="308" spans="3:3" x14ac:dyDescent="0.2">
      <c r="C308" s="388"/>
    </row>
    <row r="309" spans="3:3" x14ac:dyDescent="0.2">
      <c r="C309" s="388"/>
    </row>
    <row r="310" spans="3:3" x14ac:dyDescent="0.2">
      <c r="C310" s="388"/>
    </row>
    <row r="311" spans="3:3" x14ac:dyDescent="0.2">
      <c r="C311" s="388"/>
    </row>
    <row r="312" spans="3:3" x14ac:dyDescent="0.2">
      <c r="C312" s="388"/>
    </row>
    <row r="313" spans="3:3" x14ac:dyDescent="0.2">
      <c r="C313" s="388"/>
    </row>
    <row r="314" spans="3:3" x14ac:dyDescent="0.2">
      <c r="C314" s="388"/>
    </row>
    <row r="315" spans="3:3" x14ac:dyDescent="0.2">
      <c r="C315" s="388"/>
    </row>
    <row r="316" spans="3:3" x14ac:dyDescent="0.2">
      <c r="C316" s="388"/>
    </row>
    <row r="317" spans="3:3" x14ac:dyDescent="0.2">
      <c r="C317" s="388"/>
    </row>
    <row r="318" spans="3:3" x14ac:dyDescent="0.2">
      <c r="C318" s="388"/>
    </row>
    <row r="319" spans="3:3" x14ac:dyDescent="0.2">
      <c r="C319" s="388"/>
    </row>
    <row r="320" spans="3:3" x14ac:dyDescent="0.2">
      <c r="C320" s="388"/>
    </row>
    <row r="321" spans="3:3" x14ac:dyDescent="0.2">
      <c r="C321" s="388"/>
    </row>
    <row r="322" spans="3:3" x14ac:dyDescent="0.2">
      <c r="C322" s="388"/>
    </row>
    <row r="323" spans="3:3" x14ac:dyDescent="0.2">
      <c r="C323" s="388"/>
    </row>
    <row r="324" spans="3:3" x14ac:dyDescent="0.2">
      <c r="C324" s="388"/>
    </row>
    <row r="325" spans="3:3" x14ac:dyDescent="0.2">
      <c r="C325" s="388"/>
    </row>
    <row r="326" spans="3:3" x14ac:dyDescent="0.2">
      <c r="C326" s="388"/>
    </row>
    <row r="327" spans="3:3" x14ac:dyDescent="0.2">
      <c r="C327" s="388"/>
    </row>
    <row r="328" spans="3:3" x14ac:dyDescent="0.2">
      <c r="C328" s="388"/>
    </row>
    <row r="329" spans="3:3" x14ac:dyDescent="0.2">
      <c r="C329" s="388"/>
    </row>
    <row r="330" spans="3:3" x14ac:dyDescent="0.2">
      <c r="C330" s="388"/>
    </row>
    <row r="331" spans="3:3" x14ac:dyDescent="0.2">
      <c r="C331" s="388"/>
    </row>
    <row r="332" spans="3:3" x14ac:dyDescent="0.2">
      <c r="C332" s="388"/>
    </row>
    <row r="333" spans="3:3" x14ac:dyDescent="0.2">
      <c r="C333" s="388"/>
    </row>
    <row r="334" spans="3:3" x14ac:dyDescent="0.2">
      <c r="C334" s="388"/>
    </row>
    <row r="335" spans="3:3" x14ac:dyDescent="0.2">
      <c r="C335" s="388"/>
    </row>
    <row r="336" spans="3:3" x14ac:dyDescent="0.2">
      <c r="C336" s="388"/>
    </row>
    <row r="337" spans="3:3" x14ac:dyDescent="0.2">
      <c r="C337" s="388"/>
    </row>
    <row r="338" spans="3:3" x14ac:dyDescent="0.2">
      <c r="C338" s="388"/>
    </row>
    <row r="339" spans="3:3" x14ac:dyDescent="0.2">
      <c r="C339" s="388"/>
    </row>
    <row r="340" spans="3:3" x14ac:dyDescent="0.2">
      <c r="C340" s="388"/>
    </row>
    <row r="341" spans="3:3" x14ac:dyDescent="0.2">
      <c r="C341" s="388"/>
    </row>
    <row r="342" spans="3:3" x14ac:dyDescent="0.2">
      <c r="C342" s="388"/>
    </row>
    <row r="343" spans="3:3" x14ac:dyDescent="0.2">
      <c r="C343" s="388"/>
    </row>
    <row r="344" spans="3:3" x14ac:dyDescent="0.2">
      <c r="C344" s="388"/>
    </row>
    <row r="345" spans="3:3" x14ac:dyDescent="0.2">
      <c r="C345" s="388"/>
    </row>
    <row r="346" spans="3:3" x14ac:dyDescent="0.2">
      <c r="C346" s="388"/>
    </row>
    <row r="347" spans="3:3" x14ac:dyDescent="0.2">
      <c r="C347" s="388"/>
    </row>
    <row r="348" spans="3:3" x14ac:dyDescent="0.2">
      <c r="C348" s="388"/>
    </row>
    <row r="349" spans="3:3" x14ac:dyDescent="0.2">
      <c r="C349" s="388"/>
    </row>
    <row r="350" spans="3:3" x14ac:dyDescent="0.2">
      <c r="C350" s="388"/>
    </row>
    <row r="351" spans="3:3" x14ac:dyDescent="0.2">
      <c r="C351" s="388"/>
    </row>
    <row r="352" spans="3:3" x14ac:dyDescent="0.2">
      <c r="C352" s="388"/>
    </row>
    <row r="353" spans="3:3" x14ac:dyDescent="0.2">
      <c r="C353" s="388"/>
    </row>
    <row r="354" spans="3:3" x14ac:dyDescent="0.2">
      <c r="C354" s="388"/>
    </row>
    <row r="355" spans="3:3" x14ac:dyDescent="0.2">
      <c r="C355" s="388"/>
    </row>
    <row r="356" spans="3:3" x14ac:dyDescent="0.2">
      <c r="C356" s="388"/>
    </row>
    <row r="357" spans="3:3" x14ac:dyDescent="0.2">
      <c r="C357" s="388"/>
    </row>
    <row r="358" spans="3:3" x14ac:dyDescent="0.2">
      <c r="C358" s="388"/>
    </row>
    <row r="359" spans="3:3" x14ac:dyDescent="0.2">
      <c r="C359" s="388"/>
    </row>
    <row r="360" spans="3:3" x14ac:dyDescent="0.2">
      <c r="C360" s="388"/>
    </row>
    <row r="361" spans="3:3" x14ac:dyDescent="0.2">
      <c r="C361" s="388"/>
    </row>
    <row r="362" spans="3:3" x14ac:dyDescent="0.2">
      <c r="C362" s="388"/>
    </row>
    <row r="363" spans="3:3" x14ac:dyDescent="0.2">
      <c r="C363" s="388"/>
    </row>
    <row r="364" spans="3:3" x14ac:dyDescent="0.2">
      <c r="C364" s="388"/>
    </row>
    <row r="365" spans="3:3" x14ac:dyDescent="0.2">
      <c r="C365" s="388"/>
    </row>
    <row r="366" spans="3:3" x14ac:dyDescent="0.2">
      <c r="C366" s="388"/>
    </row>
    <row r="367" spans="3:3" x14ac:dyDescent="0.2">
      <c r="C367" s="388"/>
    </row>
    <row r="368" spans="3:3" x14ac:dyDescent="0.2">
      <c r="C368" s="388"/>
    </row>
    <row r="369" spans="3:3" x14ac:dyDescent="0.2">
      <c r="C369" s="388"/>
    </row>
    <row r="370" spans="3:3" x14ac:dyDescent="0.2">
      <c r="C370" s="388"/>
    </row>
    <row r="371" spans="3:3" x14ac:dyDescent="0.2">
      <c r="C371" s="388"/>
    </row>
    <row r="372" spans="3:3" x14ac:dyDescent="0.2">
      <c r="C372" s="388"/>
    </row>
    <row r="373" spans="3:3" x14ac:dyDescent="0.2">
      <c r="C373" s="388"/>
    </row>
    <row r="374" spans="3:3" x14ac:dyDescent="0.2">
      <c r="C374" s="388"/>
    </row>
    <row r="375" spans="3:3" x14ac:dyDescent="0.2">
      <c r="C375" s="388"/>
    </row>
    <row r="376" spans="3:3" x14ac:dyDescent="0.2">
      <c r="C376" s="388"/>
    </row>
    <row r="377" spans="3:3" x14ac:dyDescent="0.2">
      <c r="C377" s="388"/>
    </row>
    <row r="378" spans="3:3" x14ac:dyDescent="0.2">
      <c r="C378" s="388"/>
    </row>
    <row r="379" spans="3:3" x14ac:dyDescent="0.2">
      <c r="C379" s="388"/>
    </row>
    <row r="380" spans="3:3" x14ac:dyDescent="0.2">
      <c r="C380" s="388"/>
    </row>
    <row r="381" spans="3:3" x14ac:dyDescent="0.2">
      <c r="C381" s="388"/>
    </row>
    <row r="382" spans="3:3" x14ac:dyDescent="0.2">
      <c r="C382" s="388"/>
    </row>
    <row r="383" spans="3:3" x14ac:dyDescent="0.2">
      <c r="C383" s="388"/>
    </row>
    <row r="384" spans="3:3" x14ac:dyDescent="0.2">
      <c r="C384" s="388"/>
    </row>
    <row r="385" spans="3:3" x14ac:dyDescent="0.2">
      <c r="C385" s="388"/>
    </row>
    <row r="386" spans="3:3" x14ac:dyDescent="0.2">
      <c r="C386" s="388"/>
    </row>
    <row r="387" spans="3:3" x14ac:dyDescent="0.2">
      <c r="C387" s="388"/>
    </row>
    <row r="388" spans="3:3" x14ac:dyDescent="0.2">
      <c r="C388" s="388"/>
    </row>
    <row r="389" spans="3:3" x14ac:dyDescent="0.2">
      <c r="C389" s="388"/>
    </row>
    <row r="390" spans="3:3" x14ac:dyDescent="0.2">
      <c r="C390" s="388"/>
    </row>
    <row r="391" spans="3:3" x14ac:dyDescent="0.2">
      <c r="C391" s="388"/>
    </row>
    <row r="392" spans="3:3" x14ac:dyDescent="0.2">
      <c r="C392" s="388"/>
    </row>
  </sheetData>
  <mergeCells count="26">
    <mergeCell ref="B59:B60"/>
    <mergeCell ref="C240:F240"/>
    <mergeCell ref="C241:F241"/>
    <mergeCell ref="C242:F242"/>
    <mergeCell ref="C243:F243"/>
    <mergeCell ref="C234:F234"/>
    <mergeCell ref="C236:F236"/>
    <mergeCell ref="C237:F237"/>
    <mergeCell ref="C238:F238"/>
    <mergeCell ref="C239:F239"/>
    <mergeCell ref="C99:C101"/>
    <mergeCell ref="C11:F11"/>
    <mergeCell ref="C235:F235"/>
    <mergeCell ref="C229:D229"/>
    <mergeCell ref="C230:F230"/>
    <mergeCell ref="C231:F231"/>
    <mergeCell ref="C232:F232"/>
    <mergeCell ref="C233:F233"/>
    <mergeCell ref="C251:F251"/>
    <mergeCell ref="C249:F249"/>
    <mergeCell ref="C250:F250"/>
    <mergeCell ref="C244:F244"/>
    <mergeCell ref="C245:F245"/>
    <mergeCell ref="C246:F246"/>
    <mergeCell ref="C247:F247"/>
    <mergeCell ref="C248:F248"/>
  </mergeCells>
  <hyperlinks>
    <hyperlink ref="B56" r:id="rId1" display="https://www.quiminet.com/archivos_empresa/3d4c7a4cfb3d9c3315bc99cae9417395.pdf" xr:uid="{ED51C651-2614-4746-B848-D23C0026D017}"/>
    <hyperlink ref="B61" r:id="rId2" display="https://diproagro.com/triple15" xr:uid="{18D8A068-81D5-468E-A162-8ABB14EFBB5A}"/>
  </hyperlinks>
  <printOptions horizontalCentered="1" verticalCentered="1"/>
  <pageMargins left="0.70833333333333304" right="0.70833333333333304" top="0.74791666666666701" bottom="0.74791666666666701" header="0.51180555555555496" footer="0.51180555555555496"/>
  <pageSetup paperSize="9" scale="75" firstPageNumber="0" orientation="portrait" horizontalDpi="300" verticalDpi="30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F8ABE-20FE-48D1-A49A-4E49C6FCA619}">
  <dimension ref="A1:AD88"/>
  <sheetViews>
    <sheetView showGridLines="0" zoomScale="75" zoomScaleNormal="75" workbookViewId="0">
      <selection activeCell="D6" sqref="D6"/>
    </sheetView>
  </sheetViews>
  <sheetFormatPr baseColWidth="10" defaultRowHeight="12.75" x14ac:dyDescent="0.2"/>
  <cols>
    <col min="1" max="1" width="4.42578125" customWidth="1"/>
    <col min="2" max="2" width="47" customWidth="1"/>
    <col min="3" max="3" width="20.140625" customWidth="1"/>
    <col min="4" max="5" width="11.42578125" customWidth="1"/>
    <col min="6" max="6" width="11.5703125" customWidth="1"/>
    <col min="7" max="7" width="5.85546875" style="35" customWidth="1"/>
    <col min="8" max="8" width="10.140625" customWidth="1"/>
    <col min="9" max="9" width="13.140625" customWidth="1"/>
    <col min="10" max="10" width="11.42578125" customWidth="1"/>
    <col min="11" max="11" width="9.5703125" customWidth="1"/>
    <col min="12" max="12" width="13.28515625" customWidth="1"/>
    <col min="13" max="13" width="12.7109375" customWidth="1"/>
    <col min="14" max="14" width="13" customWidth="1"/>
    <col min="15" max="15" width="13.7109375" customWidth="1"/>
    <col min="16" max="16" width="15" customWidth="1"/>
    <col min="17" max="17" width="13.140625" customWidth="1"/>
    <col min="18" max="18" width="12.7109375" customWidth="1"/>
    <col min="19" max="19" width="13.28515625" customWidth="1"/>
    <col min="20" max="20" width="11.140625" customWidth="1"/>
    <col min="21" max="21" width="10.140625" customWidth="1"/>
    <col min="22" max="22" width="8.140625" customWidth="1"/>
    <col min="23" max="23" width="10.85546875" customWidth="1"/>
    <col min="24" max="24" width="15.140625" customWidth="1"/>
    <col min="25" max="25" width="15" customWidth="1"/>
    <col min="26" max="26" width="16.42578125" customWidth="1"/>
    <col min="27" max="27" width="11.7109375" customWidth="1"/>
    <col min="28" max="29" width="13" customWidth="1"/>
  </cols>
  <sheetData>
    <row r="1" spans="2:29" ht="25.5" customHeight="1" thickBot="1" x14ac:dyDescent="0.25">
      <c r="V1" s="401"/>
      <c r="Y1" s="401" t="s">
        <v>600</v>
      </c>
    </row>
    <row r="2" spans="2:29" ht="18.75" customHeight="1" x14ac:dyDescent="0.25">
      <c r="K2" s="401"/>
      <c r="N2" s="400" t="s">
        <v>595</v>
      </c>
      <c r="O2" s="399"/>
      <c r="U2" s="893" t="s">
        <v>579</v>
      </c>
      <c r="V2" s="894"/>
      <c r="W2" s="895"/>
      <c r="X2" s="527" t="s">
        <v>74</v>
      </c>
      <c r="Y2" s="527" t="s">
        <v>73</v>
      </c>
      <c r="Z2" s="528" t="s">
        <v>72</v>
      </c>
    </row>
    <row r="3" spans="2:29" ht="16.5" customHeight="1" thickBot="1" x14ac:dyDescent="0.25">
      <c r="K3" s="67"/>
      <c r="L3" s="67"/>
      <c r="M3" s="67"/>
      <c r="N3" s="67"/>
      <c r="O3" s="67"/>
      <c r="P3" s="67"/>
      <c r="Q3" s="67"/>
      <c r="R3" s="67"/>
      <c r="S3" s="67"/>
      <c r="T3" s="67"/>
      <c r="U3" s="896"/>
      <c r="V3" s="897"/>
      <c r="W3" s="898"/>
      <c r="X3" s="529">
        <v>0.45</v>
      </c>
      <c r="Y3" s="529">
        <v>0.35</v>
      </c>
      <c r="Z3" s="530">
        <v>0.25</v>
      </c>
    </row>
    <row r="4" spans="2:29" ht="12" hidden="1" customHeight="1" x14ac:dyDescent="0.2"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</row>
    <row r="5" spans="2:29" ht="9" hidden="1" customHeight="1" x14ac:dyDescent="0.2">
      <c r="I5" s="122"/>
      <c r="J5" s="122"/>
      <c r="K5" s="435" t="s">
        <v>171</v>
      </c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435" t="s">
        <v>172</v>
      </c>
    </row>
    <row r="6" spans="2:29" ht="60.75" customHeight="1" x14ac:dyDescent="0.2">
      <c r="H6" s="438" t="s">
        <v>138</v>
      </c>
      <c r="I6" s="439" t="s">
        <v>87</v>
      </c>
      <c r="J6" s="439" t="s">
        <v>194</v>
      </c>
      <c r="K6" s="439" t="s">
        <v>193</v>
      </c>
      <c r="L6" s="439" t="s">
        <v>575</v>
      </c>
      <c r="M6" s="439" t="s">
        <v>132</v>
      </c>
      <c r="N6" s="439" t="s">
        <v>396</v>
      </c>
      <c r="O6" s="439" t="s">
        <v>561</v>
      </c>
      <c r="P6" s="439" t="s">
        <v>195</v>
      </c>
      <c r="Q6" s="439" t="s">
        <v>582</v>
      </c>
      <c r="R6" s="439" t="s">
        <v>418</v>
      </c>
      <c r="S6" s="440" t="s">
        <v>196</v>
      </c>
      <c r="T6" s="125"/>
      <c r="U6" s="438" t="s">
        <v>138</v>
      </c>
      <c r="V6" s="456" t="s">
        <v>131</v>
      </c>
      <c r="W6" s="439" t="s">
        <v>87</v>
      </c>
      <c r="X6" s="842" t="s">
        <v>580</v>
      </c>
      <c r="Y6" s="842" t="s">
        <v>581</v>
      </c>
      <c r="Z6" s="439" t="s">
        <v>173</v>
      </c>
      <c r="AA6" s="439" t="s">
        <v>404</v>
      </c>
      <c r="AB6" s="440" t="s">
        <v>402</v>
      </c>
      <c r="AC6" s="125"/>
    </row>
    <row r="7" spans="2:29" ht="13.5" customHeight="1" x14ac:dyDescent="0.2">
      <c r="H7" s="441"/>
      <c r="I7" s="107"/>
      <c r="J7" s="107" t="s">
        <v>88</v>
      </c>
      <c r="K7" s="108" t="s">
        <v>89</v>
      </c>
      <c r="L7" s="109" t="s">
        <v>149</v>
      </c>
      <c r="M7" s="109" t="s">
        <v>181</v>
      </c>
      <c r="N7" s="109" t="s">
        <v>180</v>
      </c>
      <c r="O7" s="109" t="s">
        <v>180</v>
      </c>
      <c r="P7" s="109" t="s">
        <v>94</v>
      </c>
      <c r="Q7" s="109" t="s">
        <v>94</v>
      </c>
      <c r="R7" s="109" t="s">
        <v>94</v>
      </c>
      <c r="S7" s="442"/>
      <c r="T7" s="155"/>
      <c r="U7" s="441"/>
      <c r="V7" s="119" t="s">
        <v>139</v>
      </c>
      <c r="W7" s="107"/>
      <c r="X7" s="108" t="s">
        <v>88</v>
      </c>
      <c r="Y7" s="109" t="s">
        <v>94</v>
      </c>
      <c r="Z7" s="109" t="s">
        <v>94</v>
      </c>
      <c r="AA7" s="109" t="s">
        <v>169</v>
      </c>
      <c r="AB7" s="442" t="s">
        <v>169</v>
      </c>
      <c r="AC7" s="155"/>
    </row>
    <row r="8" spans="2:29" ht="15.75" x14ac:dyDescent="0.25">
      <c r="B8" s="899" t="s">
        <v>599</v>
      </c>
      <c r="C8" s="899"/>
      <c r="D8" s="899"/>
      <c r="E8" s="899"/>
      <c r="F8" s="899"/>
      <c r="H8" s="880">
        <v>1</v>
      </c>
      <c r="I8" s="84" t="s">
        <v>74</v>
      </c>
      <c r="J8" s="84">
        <v>0.6</v>
      </c>
      <c r="K8" s="86">
        <f>$D$12*J8/1000</f>
        <v>5.7</v>
      </c>
      <c r="L8" s="87">
        <f t="shared" ref="L8:L15" si="0">0.0014*(J8^2)-0.4384*J8+42.303</f>
        <v>42.040464</v>
      </c>
      <c r="M8" s="87">
        <f t="shared" ref="M8:M20" si="1">24*K8*L8/1000000</f>
        <v>5.751135475200001E-3</v>
      </c>
      <c r="N8" s="87">
        <f>$X$3*'Parab Tilapias '!$E$54*'Suministro de Alimento y O2'!Y8</f>
        <v>6.1560000000000004E-2</v>
      </c>
      <c r="O8" s="87">
        <f t="shared" ref="O8:O31" si="2">N8-M8</f>
        <v>5.5808864524800002E-2</v>
      </c>
      <c r="P8" s="87">
        <f>(1-'Parab Tilapias '!$E$58)*M8*'Parab Tilapias '!$E$57</f>
        <v>1.3543924044096002E-2</v>
      </c>
      <c r="Q8" s="87">
        <f t="shared" ref="Q8:Q31" si="3">24*K8*(377-34.6*LN(J8))/1000000</f>
        <v>5.3991480708459091E-2</v>
      </c>
      <c r="R8" s="885">
        <f>P8+P9+Q8+Q9</f>
        <v>2.0805596840221048</v>
      </c>
      <c r="S8" s="883">
        <f>R8/'Parab Tilapias '!$E$40</f>
        <v>9.2958412555242384E-2</v>
      </c>
      <c r="T8" s="454"/>
      <c r="U8" s="880">
        <v>1</v>
      </c>
      <c r="V8" s="120">
        <v>0</v>
      </c>
      <c r="W8" s="152" t="s">
        <v>74</v>
      </c>
      <c r="X8" s="85">
        <v>0.15</v>
      </c>
      <c r="Y8" s="477">
        <f t="shared" ref="Y8:Y31" si="4">X8*K8</f>
        <v>0.85499999999999998</v>
      </c>
      <c r="Z8" s="87">
        <f>N8*'Parab Tilapias '!$E$89</f>
        <v>1.2312000000000001</v>
      </c>
      <c r="AA8" s="111">
        <f>'Parab Tilapias '!$E$104*'Suministro de Alimento y O2'!Z8/'Parab Tilapias '!$E$95</f>
        <v>13.234643734643736</v>
      </c>
      <c r="AB8" s="457">
        <f>'Parab Tilapias '!$E$153*AA8</f>
        <v>7.0558598573740055</v>
      </c>
      <c r="AC8" s="156"/>
    </row>
    <row r="9" spans="2:29" x14ac:dyDescent="0.2">
      <c r="H9" s="881"/>
      <c r="I9" s="73" t="s">
        <v>73</v>
      </c>
      <c r="J9" s="472">
        <v>27</v>
      </c>
      <c r="K9" s="416">
        <f>$E$12*J9/1000</f>
        <v>248.80500000000001</v>
      </c>
      <c r="L9" s="473">
        <f t="shared" si="0"/>
        <v>31.486799999999995</v>
      </c>
      <c r="M9" s="473">
        <f t="shared" si="1"/>
        <v>0.18801775857599998</v>
      </c>
      <c r="N9" s="473">
        <f>$Y$3*'Parab Tilapias '!$E$54*'Suministro de Alimento y O2'!Y9</f>
        <v>0.55732320000000002</v>
      </c>
      <c r="O9" s="473">
        <f t="shared" si="2"/>
        <v>0.36930544142400001</v>
      </c>
      <c r="P9" s="76">
        <f>(1-'Parab Tilapias '!$E$58)*M9*'Parab Tilapias '!$E$57</f>
        <v>0.44278182144647993</v>
      </c>
      <c r="Q9" s="76">
        <f t="shared" si="3"/>
        <v>1.5702424578230696</v>
      </c>
      <c r="R9" s="886"/>
      <c r="S9" s="884"/>
      <c r="T9" s="454"/>
      <c r="U9" s="881"/>
      <c r="V9" s="72">
        <f>V29+7</f>
        <v>56</v>
      </c>
      <c r="W9" s="153" t="s">
        <v>73</v>
      </c>
      <c r="X9" s="74">
        <v>0.04</v>
      </c>
      <c r="Y9" s="473">
        <f t="shared" si="4"/>
        <v>9.9522000000000013</v>
      </c>
      <c r="Z9" s="76">
        <f>N9*'Parab Tilapias '!$E$89</f>
        <v>11.146464</v>
      </c>
      <c r="AA9" s="112">
        <f>'Parab Tilapias '!$E$104*'Suministro de Alimento y O2'!Z9/'Parab Tilapias '!$E$95</f>
        <v>119.81764127764129</v>
      </c>
      <c r="AB9" s="458">
        <f>'Parab Tilapias '!$E$153*AA9</f>
        <v>63.879051242092658</v>
      </c>
      <c r="AC9" s="156"/>
    </row>
    <row r="10" spans="2:29" ht="15.95" customHeight="1" x14ac:dyDescent="0.2">
      <c r="B10" s="146" t="s">
        <v>87</v>
      </c>
      <c r="C10" s="146" t="s">
        <v>596</v>
      </c>
      <c r="D10" s="146" t="s">
        <v>74</v>
      </c>
      <c r="E10" s="146" t="s">
        <v>73</v>
      </c>
      <c r="F10" s="146" t="s">
        <v>72</v>
      </c>
      <c r="H10" s="888"/>
      <c r="I10" s="78" t="s">
        <v>72</v>
      </c>
      <c r="J10" s="474">
        <v>170</v>
      </c>
      <c r="K10" s="80">
        <f>$F$12*J10/1000</f>
        <v>1550.8844999999999</v>
      </c>
      <c r="L10" s="110">
        <f t="shared" si="0"/>
        <v>8.2349999999999923</v>
      </c>
      <c r="M10" s="110">
        <f t="shared" si="1"/>
        <v>0.30651681257999969</v>
      </c>
      <c r="N10" s="110">
        <f>$Z$3*'Parab Tilapias '!$E$54*'Suministro de Alimento y O2'!Y10</f>
        <v>1.6749552599999999</v>
      </c>
      <c r="O10" s="110">
        <f t="shared" si="2"/>
        <v>1.3684384474200002</v>
      </c>
      <c r="P10" s="76">
        <f>(1-'Parab Tilapias '!$E$58)*M10*'Parab Tilapias '!$E$57</f>
        <v>0.72184709362589927</v>
      </c>
      <c r="Q10" s="76">
        <f t="shared" si="3"/>
        <v>7.4182418852727947</v>
      </c>
      <c r="R10" s="90">
        <f>P10+Q10</f>
        <v>8.1400889788986941</v>
      </c>
      <c r="S10" s="444">
        <f>R10/'Parab Tilapias '!$E$40</f>
        <v>0.36369528610399005</v>
      </c>
      <c r="T10" s="455"/>
      <c r="U10" s="888"/>
      <c r="V10" s="77">
        <f>V30+7</f>
        <v>112</v>
      </c>
      <c r="W10" s="154" t="s">
        <v>72</v>
      </c>
      <c r="X10" s="79">
        <v>2.7E-2</v>
      </c>
      <c r="Y10" s="110">
        <f t="shared" si="4"/>
        <v>41.873881499999996</v>
      </c>
      <c r="Z10" s="81">
        <f>N10*'Parab Tilapias '!$E$89</f>
        <v>33.499105200000002</v>
      </c>
      <c r="AA10" s="113">
        <f>'Parab Tilapias '!$E$104*'Suministro de Alimento y O2'!Z10/'Parab Tilapias '!$E$95</f>
        <v>360.09480405405407</v>
      </c>
      <c r="AB10" s="459">
        <f>'Parab Tilapias '!$E$153*AA10</f>
        <v>191.9793629293606</v>
      </c>
      <c r="AC10" s="156"/>
    </row>
    <row r="11" spans="2:29" ht="15.95" customHeight="1" x14ac:dyDescent="0.2">
      <c r="B11" s="315" t="s">
        <v>597</v>
      </c>
      <c r="C11" s="102" t="s">
        <v>23</v>
      </c>
      <c r="D11" s="316">
        <f>'Parab Tilapias '!E24*'Parab Tilapias '!E23</f>
        <v>24</v>
      </c>
      <c r="E11" s="317">
        <f>F11-D11</f>
        <v>137.12637100253977</v>
      </c>
      <c r="F11" s="316">
        <f>'Parab Tilapias '!E17</f>
        <v>161.12637100253977</v>
      </c>
      <c r="H11" s="880">
        <v>2</v>
      </c>
      <c r="I11" s="84" t="s">
        <v>74</v>
      </c>
      <c r="J11" s="475">
        <v>1.2</v>
      </c>
      <c r="K11" s="476">
        <f>$D$12*J11/1000</f>
        <v>11.4</v>
      </c>
      <c r="L11" s="477">
        <f t="shared" si="0"/>
        <v>41.778935999999995</v>
      </c>
      <c r="M11" s="477">
        <f t="shared" si="1"/>
        <v>1.14307168896E-2</v>
      </c>
      <c r="N11" s="477">
        <f>$X$3*'Parab Tilapias '!$E$54*'Suministro de Alimento y O2'!Y11</f>
        <v>8.2080000000000014E-2</v>
      </c>
      <c r="O11" s="477">
        <f t="shared" si="2"/>
        <v>7.0649283110400016E-2</v>
      </c>
      <c r="P11" s="87">
        <f>(1-'Parab Tilapias '!$E$58)*M11*'Parab Tilapias '!$E$57</f>
        <v>2.6919338275008E-2</v>
      </c>
      <c r="Q11" s="87">
        <f t="shared" si="3"/>
        <v>0.10142124204331662</v>
      </c>
      <c r="R11" s="885">
        <f>P11+P12+Q11+Q12</f>
        <v>2.6170381251954566</v>
      </c>
      <c r="S11" s="883">
        <f>R11/'Parab Tilapias '!$E$40</f>
        <v>0.11692801296832812</v>
      </c>
      <c r="T11" s="454"/>
      <c r="U11" s="880">
        <f>U8+1</f>
        <v>2</v>
      </c>
      <c r="V11" s="83">
        <f>V8+7</f>
        <v>7</v>
      </c>
      <c r="W11" s="152" t="s">
        <v>74</v>
      </c>
      <c r="X11" s="85">
        <v>0.1</v>
      </c>
      <c r="Y11" s="473">
        <f t="shared" si="4"/>
        <v>1.1400000000000001</v>
      </c>
      <c r="Z11" s="87">
        <f>N11*'Parab Tilapias '!$E$89</f>
        <v>1.6416000000000004</v>
      </c>
      <c r="AA11" s="111">
        <f>'Parab Tilapias '!$E$104*'Suministro de Alimento y O2'!Z11/'Parab Tilapias '!$E$95</f>
        <v>17.646191646191649</v>
      </c>
      <c r="AB11" s="457">
        <f>'Parab Tilapias '!$E$153*AA11</f>
        <v>9.4078131431653418</v>
      </c>
      <c r="AC11" s="156"/>
    </row>
    <row r="12" spans="2:29" ht="15.95" customHeight="1" x14ac:dyDescent="0.2">
      <c r="B12" s="315" t="s">
        <v>598</v>
      </c>
      <c r="C12" s="102" t="s">
        <v>7</v>
      </c>
      <c r="D12" s="321">
        <f>'Parab Tilapias '!E21*'Suministro de Alimento y O2'!D14</f>
        <v>9500</v>
      </c>
      <c r="E12" s="322">
        <f>D12*E14</f>
        <v>9215</v>
      </c>
      <c r="F12" s="322">
        <f>E12*F14</f>
        <v>9122.85</v>
      </c>
      <c r="G12" s="471"/>
      <c r="H12" s="881"/>
      <c r="I12" s="73" t="s">
        <v>73</v>
      </c>
      <c r="J12" s="472">
        <v>35</v>
      </c>
      <c r="K12" s="416">
        <f>$E$12*J12/1000</f>
        <v>322.52499999999998</v>
      </c>
      <c r="L12" s="473">
        <f t="shared" si="0"/>
        <v>28.673999999999996</v>
      </c>
      <c r="M12" s="473">
        <f t="shared" si="1"/>
        <v>0.22195396439999993</v>
      </c>
      <c r="N12" s="473">
        <f>$Y$3*'Parab Tilapias '!$E$54*'Suministro de Alimento y O2'!Y12</f>
        <v>0.68633319999999987</v>
      </c>
      <c r="O12" s="473">
        <f t="shared" si="2"/>
        <v>0.46437923559999994</v>
      </c>
      <c r="P12" s="76">
        <f>(1-'Parab Tilapias '!$E$58)*M12*'Parab Tilapias '!$E$57</f>
        <v>0.5227015861619998</v>
      </c>
      <c r="Q12" s="76">
        <f t="shared" si="3"/>
        <v>1.9659959587151321</v>
      </c>
      <c r="R12" s="886"/>
      <c r="S12" s="884"/>
      <c r="T12" s="454"/>
      <c r="U12" s="881"/>
      <c r="V12" s="72">
        <f t="shared" ref="V12:V17" si="5">V9+7</f>
        <v>63</v>
      </c>
      <c r="W12" s="153" t="s">
        <v>73</v>
      </c>
      <c r="X12" s="74">
        <v>3.7999999999999999E-2</v>
      </c>
      <c r="Y12" s="473">
        <f t="shared" si="4"/>
        <v>12.255949999999999</v>
      </c>
      <c r="Z12" s="76">
        <f>N12*'Parab Tilapias '!$E$89</f>
        <v>13.726663999999998</v>
      </c>
      <c r="AA12" s="112">
        <f>'Parab Tilapias '!$E$104*'Suministro de Alimento y O2'!Z12/'Parab Tilapias '!$E$95</f>
        <v>147.55320638820635</v>
      </c>
      <c r="AB12" s="458">
        <f>'Parab Tilapias '!$E$153*AA12</f>
        <v>78.665868659243714</v>
      </c>
      <c r="AC12" s="156"/>
    </row>
    <row r="13" spans="2:29" ht="15.95" customHeight="1" x14ac:dyDescent="0.2">
      <c r="B13" s="97" t="s">
        <v>146</v>
      </c>
      <c r="C13" s="96" t="s">
        <v>86</v>
      </c>
      <c r="D13" s="139">
        <f>D12/D11</f>
        <v>395.83333333333331</v>
      </c>
      <c r="E13" s="139">
        <f>E12/E11</f>
        <v>67.200786636651571</v>
      </c>
      <c r="F13" s="140">
        <f>F12/F11</f>
        <v>56.619223428399565</v>
      </c>
      <c r="H13" s="888"/>
      <c r="I13" s="78" t="s">
        <v>72</v>
      </c>
      <c r="J13" s="474">
        <v>210</v>
      </c>
      <c r="K13" s="416">
        <f>$F$12*J13/1000</f>
        <v>1915.7985000000001</v>
      </c>
      <c r="L13" s="110">
        <f>MIN(8.75,14*(J13^2)-0.4384*J13+42.303)</f>
        <v>8.75</v>
      </c>
      <c r="M13" s="110">
        <f t="shared" si="1"/>
        <v>0.40231768500000004</v>
      </c>
      <c r="N13" s="110">
        <f>$Z$3*'Parab Tilapias '!$E$54*'Suministro de Alimento y O2'!Y13</f>
        <v>1.9924304399999999</v>
      </c>
      <c r="O13" s="110">
        <f t="shared" si="2"/>
        <v>1.5901127549999998</v>
      </c>
      <c r="P13" s="76">
        <f>(1-'Parab Tilapias '!$E$58)*M13*'Parab Tilapias '!$E$57</f>
        <v>0.94745814817500007</v>
      </c>
      <c r="Q13" s="76">
        <f t="shared" si="3"/>
        <v>8.8275433488149257</v>
      </c>
      <c r="R13" s="90">
        <f>P13+Q13</f>
        <v>9.7750014969899262</v>
      </c>
      <c r="S13" s="444">
        <f>R13/'Parab Tilapias '!$E$40</f>
        <v>0.43674239622324978</v>
      </c>
      <c r="T13" s="455"/>
      <c r="U13" s="888"/>
      <c r="V13" s="77">
        <f t="shared" si="5"/>
        <v>119</v>
      </c>
      <c r="W13" s="154" t="s">
        <v>72</v>
      </c>
      <c r="X13" s="79">
        <v>2.5999999999999999E-2</v>
      </c>
      <c r="Y13" s="110">
        <f t="shared" si="4"/>
        <v>49.810760999999999</v>
      </c>
      <c r="Z13" s="81">
        <f>N13*'Parab Tilapias '!$E$89</f>
        <v>39.848608800000001</v>
      </c>
      <c r="AA13" s="113">
        <f>'Parab Tilapias '!$E$104*'Suministro de Alimento y O2'!Z13/'Parab Tilapias '!$E$95</f>
        <v>428.34806756756757</v>
      </c>
      <c r="AB13" s="459">
        <f>'Parab Tilapias '!$E$153*AA13</f>
        <v>228.36760819048123</v>
      </c>
      <c r="AC13" s="156"/>
    </row>
    <row r="14" spans="2:29" ht="15.95" customHeight="1" x14ac:dyDescent="0.2">
      <c r="B14" s="136" t="s">
        <v>130</v>
      </c>
      <c r="C14" s="137"/>
      <c r="D14" s="138">
        <v>0.95</v>
      </c>
      <c r="E14" s="138">
        <v>0.97</v>
      </c>
      <c r="F14" s="138">
        <v>0.99</v>
      </c>
      <c r="H14" s="880">
        <v>3</v>
      </c>
      <c r="I14" s="84" t="s">
        <v>74</v>
      </c>
      <c r="J14" s="84">
        <v>3</v>
      </c>
      <c r="K14" s="86">
        <f>$D$12*J14/1000</f>
        <v>28.5</v>
      </c>
      <c r="L14" s="87">
        <f t="shared" si="0"/>
        <v>41.000399999999999</v>
      </c>
      <c r="M14" s="87">
        <f t="shared" si="1"/>
        <v>2.8044273599999999E-2</v>
      </c>
      <c r="N14" s="87">
        <f>$X$3*'Parab Tilapias '!$E$54*'Suministro de Alimento y O2'!Y14</f>
        <v>0.12312000000000001</v>
      </c>
      <c r="O14" s="87">
        <f t="shared" si="2"/>
        <v>9.5075726400000005E-2</v>
      </c>
      <c r="P14" s="87">
        <f>(1-'Parab Tilapias '!$E$58)*M14*'Parab Tilapias '!$E$57</f>
        <v>6.6044264327999994E-2</v>
      </c>
      <c r="Q14" s="87">
        <f t="shared" si="3"/>
        <v>0.23186780213146505</v>
      </c>
      <c r="R14" s="885">
        <f>P14+P15+Q14+Q15</f>
        <v>3.3346271296675161</v>
      </c>
      <c r="S14" s="883">
        <f>R14/'Parab Tilapias '!$E$40</f>
        <v>0.14898954681188722</v>
      </c>
      <c r="T14" s="454"/>
      <c r="U14" s="880">
        <f>U11+1</f>
        <v>3</v>
      </c>
      <c r="V14" s="83">
        <f t="shared" si="5"/>
        <v>14</v>
      </c>
      <c r="W14" s="152" t="s">
        <v>74</v>
      </c>
      <c r="X14" s="85">
        <v>0.06</v>
      </c>
      <c r="Y14" s="473">
        <f t="shared" si="4"/>
        <v>1.71</v>
      </c>
      <c r="Z14" s="87">
        <f>N14*'Parab Tilapias '!$E$89</f>
        <v>2.4624000000000001</v>
      </c>
      <c r="AA14" s="111">
        <f>'Parab Tilapias '!$E$104*'Suministro de Alimento y O2'!Z14/'Parab Tilapias '!$E$95</f>
        <v>26.469287469287472</v>
      </c>
      <c r="AB14" s="457">
        <f>'Parab Tilapias '!$E$153*AA14</f>
        <v>14.111719714748011</v>
      </c>
      <c r="AC14" s="156"/>
    </row>
    <row r="15" spans="2:29" ht="15.95" customHeight="1" x14ac:dyDescent="0.2">
      <c r="B15" s="315" t="s">
        <v>207</v>
      </c>
      <c r="C15" s="102" t="s">
        <v>88</v>
      </c>
      <c r="D15" s="321">
        <f>J8</f>
        <v>0.6</v>
      </c>
      <c r="E15" s="322">
        <f>D16</f>
        <v>20</v>
      </c>
      <c r="F15" s="322">
        <f>E16</f>
        <v>130</v>
      </c>
      <c r="H15" s="881"/>
      <c r="I15" s="73" t="s">
        <v>73</v>
      </c>
      <c r="J15" s="73">
        <v>45</v>
      </c>
      <c r="K15" s="75">
        <f>$E$12*J15/1000</f>
        <v>414.67500000000001</v>
      </c>
      <c r="L15" s="76">
        <f t="shared" si="0"/>
        <v>25.409999999999997</v>
      </c>
      <c r="M15" s="76">
        <f t="shared" si="1"/>
        <v>0.25288540199999998</v>
      </c>
      <c r="N15" s="76">
        <f>$Y$3*'Parab Tilapias '!$E$54*'Suministro de Alimento y O2'!Y15</f>
        <v>0.83598479999999997</v>
      </c>
      <c r="O15" s="76">
        <f t="shared" si="2"/>
        <v>0.58309939799999999</v>
      </c>
      <c r="P15" s="76">
        <f>(1-'Parab Tilapias '!$E$58)*M15*'Parab Tilapias '!$E$57</f>
        <v>0.59554512170999996</v>
      </c>
      <c r="Q15" s="76">
        <f t="shared" si="3"/>
        <v>2.441169941498051</v>
      </c>
      <c r="R15" s="886"/>
      <c r="S15" s="884"/>
      <c r="T15" s="454"/>
      <c r="U15" s="881"/>
      <c r="V15" s="72">
        <f t="shared" si="5"/>
        <v>70</v>
      </c>
      <c r="W15" s="153" t="s">
        <v>73</v>
      </c>
      <c r="X15" s="74">
        <v>3.5999999999999997E-2</v>
      </c>
      <c r="Y15" s="473">
        <f t="shared" si="4"/>
        <v>14.9283</v>
      </c>
      <c r="Z15" s="76">
        <f>N15*'Parab Tilapias '!$E$89</f>
        <v>16.719695999999999</v>
      </c>
      <c r="AA15" s="112">
        <f>'Parab Tilapias '!$E$104*'Suministro de Alimento y O2'!Z15/'Parab Tilapias '!$E$95</f>
        <v>179.72646191646191</v>
      </c>
      <c r="AB15" s="458">
        <f>'Parab Tilapias '!$E$153*AA15</f>
        <v>95.818576863138986</v>
      </c>
      <c r="AC15" s="156"/>
    </row>
    <row r="16" spans="2:29" ht="15.95" customHeight="1" x14ac:dyDescent="0.2">
      <c r="B16" s="319" t="s">
        <v>208</v>
      </c>
      <c r="C16" s="320" t="s">
        <v>88</v>
      </c>
      <c r="D16" s="333">
        <f>J29</f>
        <v>20</v>
      </c>
      <c r="E16" s="322">
        <f>J30</f>
        <v>130</v>
      </c>
      <c r="F16" s="318">
        <v>400</v>
      </c>
      <c r="H16" s="888"/>
      <c r="I16" s="78" t="s">
        <v>72</v>
      </c>
      <c r="J16" s="78">
        <v>250</v>
      </c>
      <c r="K16" s="80">
        <f>$F$12*J16/1000</f>
        <v>2280.7125000000001</v>
      </c>
      <c r="L16" s="82">
        <f>$L$13</f>
        <v>8.75</v>
      </c>
      <c r="M16" s="81">
        <f t="shared" si="1"/>
        <v>0.47894962500000005</v>
      </c>
      <c r="N16" s="81">
        <f>$Z$3*'Parab Tilapias '!$E$54*'Suministro de Alimento y O2'!Y16</f>
        <v>2.2807125000000004</v>
      </c>
      <c r="O16" s="81">
        <f t="shared" si="2"/>
        <v>1.8017628750000003</v>
      </c>
      <c r="P16" s="76">
        <f>(1-'Parab Tilapias '!$E$58)*M16*'Parab Tilapias '!$E$57</f>
        <v>1.1279263668750001</v>
      </c>
      <c r="Q16" s="76">
        <f t="shared" si="3"/>
        <v>10.178771659113734</v>
      </c>
      <c r="R16" s="90">
        <f>P16+Q16</f>
        <v>11.306698025988734</v>
      </c>
      <c r="S16" s="444">
        <f>R16/'Parab Tilapias '!$E$40</f>
        <v>0.50517786526821817</v>
      </c>
      <c r="T16" s="455"/>
      <c r="U16" s="888"/>
      <c r="V16" s="77">
        <f t="shared" si="5"/>
        <v>126</v>
      </c>
      <c r="W16" s="154" t="s">
        <v>72</v>
      </c>
      <c r="X16" s="79">
        <v>2.5000000000000001E-2</v>
      </c>
      <c r="Y16" s="110">
        <f t="shared" si="4"/>
        <v>57.017812500000005</v>
      </c>
      <c r="Z16" s="81">
        <f>N16*'Parab Tilapias '!$E$89</f>
        <v>45.614250000000006</v>
      </c>
      <c r="AA16" s="113">
        <f>'Parab Tilapias '!$E$104*'Suministro de Alimento y O2'!Z16/'Parab Tilapias '!$E$95</f>
        <v>490.32516891891896</v>
      </c>
      <c r="AB16" s="459">
        <f>'Parab Tilapias '!$E$153*AA16</f>
        <v>261.40980791034946</v>
      </c>
      <c r="AC16" s="156"/>
    </row>
    <row r="17" spans="2:29" ht="15.95" customHeight="1" x14ac:dyDescent="0.2">
      <c r="B17" s="319" t="s">
        <v>209</v>
      </c>
      <c r="C17" s="320" t="s">
        <v>89</v>
      </c>
      <c r="D17" s="333">
        <f>D16*D12/1000</f>
        <v>190</v>
      </c>
      <c r="E17" s="322">
        <f t="shared" ref="E17:F17" si="6">E16*E12/1000</f>
        <v>1197.95</v>
      </c>
      <c r="F17" s="318">
        <f t="shared" si="6"/>
        <v>3649.14</v>
      </c>
      <c r="H17" s="880">
        <v>4</v>
      </c>
      <c r="I17" s="84" t="s">
        <v>74</v>
      </c>
      <c r="J17" s="84">
        <v>5</v>
      </c>
      <c r="K17" s="86">
        <f>$D$12*J17/1000</f>
        <v>47.5</v>
      </c>
      <c r="L17" s="87">
        <f>0.0014*(J17^2)-0.4384*J17+42.303</f>
        <v>40.146000000000001</v>
      </c>
      <c r="M17" s="87">
        <f t="shared" si="1"/>
        <v>4.5766440000000005E-2</v>
      </c>
      <c r="N17" s="87">
        <f>$X$3*'Parab Tilapias '!$E$54*'Suministro de Alimento y O2'!Y17</f>
        <v>0.17955000000000002</v>
      </c>
      <c r="O17" s="87">
        <f t="shared" si="2"/>
        <v>0.13378356000000002</v>
      </c>
      <c r="P17" s="87">
        <f>(1-'Parab Tilapias '!$E$58)*M17*'Parab Tilapias '!$E$57</f>
        <v>0.10777996620000001</v>
      </c>
      <c r="Q17" s="87">
        <f t="shared" si="3"/>
        <v>0.36629733098194933</v>
      </c>
      <c r="R17" s="885">
        <f>P17+P18+Q17+Q18</f>
        <v>4.0156832450667856</v>
      </c>
      <c r="S17" s="883">
        <f>R17/'Parab Tilapias '!$E$40</f>
        <v>0.17941880862771095</v>
      </c>
      <c r="T17" s="454"/>
      <c r="U17" s="880">
        <f>U14+1</f>
        <v>4</v>
      </c>
      <c r="V17" s="83">
        <f t="shared" si="5"/>
        <v>21</v>
      </c>
      <c r="W17" s="152" t="s">
        <v>74</v>
      </c>
      <c r="X17" s="85">
        <v>5.2499999999999998E-2</v>
      </c>
      <c r="Y17" s="473">
        <f t="shared" si="4"/>
        <v>2.4937499999999999</v>
      </c>
      <c r="Z17" s="87">
        <f>N17*'Parab Tilapias '!$E$89</f>
        <v>3.5910000000000002</v>
      </c>
      <c r="AA17" s="111">
        <f>'Parab Tilapias '!$E$104*'Suministro de Alimento y O2'!Z17/'Parab Tilapias '!$E$95</f>
        <v>38.601044226044223</v>
      </c>
      <c r="AB17" s="457">
        <f>'Parab Tilapias '!$E$153*AA17</f>
        <v>20.579591250674181</v>
      </c>
      <c r="AC17" s="156"/>
    </row>
    <row r="18" spans="2:29" ht="15.95" customHeight="1" x14ac:dyDescent="0.2">
      <c r="B18" s="325" t="s">
        <v>134</v>
      </c>
      <c r="C18" s="326" t="s">
        <v>135</v>
      </c>
      <c r="D18" s="328">
        <f>K29/D11</f>
        <v>7.916666666666667</v>
      </c>
      <c r="E18" s="327">
        <f>K30/E11</f>
        <v>8.7361022627647049</v>
      </c>
      <c r="F18" s="327">
        <f>K31/F11</f>
        <v>25.478650542779807</v>
      </c>
      <c r="H18" s="881"/>
      <c r="I18" s="73" t="s">
        <v>73</v>
      </c>
      <c r="J18" s="73">
        <v>55</v>
      </c>
      <c r="K18" s="75">
        <f>$E$12*J18/1000</f>
        <v>506.82499999999999</v>
      </c>
      <c r="L18" s="76">
        <f>0.0014*(J18^2)-0.4384*J18+42.303</f>
        <v>22.425999999999995</v>
      </c>
      <c r="M18" s="76">
        <f t="shared" si="1"/>
        <v>0.27278537879999992</v>
      </c>
      <c r="N18" s="76">
        <f>$Y$3*'Parab Tilapias '!$E$54*'Suministro de Alimento y O2'!Y18</f>
        <v>0.96499479999999993</v>
      </c>
      <c r="O18" s="76">
        <f t="shared" si="2"/>
        <v>0.69220942120000006</v>
      </c>
      <c r="P18" s="76">
        <f>(1-'Parab Tilapias '!$E$58)*M18*'Parab Tilapias '!$E$57</f>
        <v>0.64240956707399977</v>
      </c>
      <c r="Q18" s="76">
        <f t="shared" si="3"/>
        <v>2.8991963808108365</v>
      </c>
      <c r="R18" s="886"/>
      <c r="S18" s="884"/>
      <c r="T18" s="454"/>
      <c r="U18" s="881"/>
      <c r="V18" s="72">
        <f t="shared" ref="V18:V31" si="7">V15+7</f>
        <v>77</v>
      </c>
      <c r="W18" s="153" t="s">
        <v>73</v>
      </c>
      <c r="X18" s="74">
        <v>3.4000000000000002E-2</v>
      </c>
      <c r="Y18" s="473">
        <f t="shared" si="4"/>
        <v>17.232050000000001</v>
      </c>
      <c r="Z18" s="76">
        <f>N18*'Parab Tilapias '!$E$89</f>
        <v>19.299895999999997</v>
      </c>
      <c r="AA18" s="112">
        <f>'Parab Tilapias '!$E$104*'Suministro de Alimento y O2'!Z18/'Parab Tilapias '!$E$95</f>
        <v>207.46202702702701</v>
      </c>
      <c r="AB18" s="458">
        <f>'Parab Tilapias '!$E$153*AA18</f>
        <v>110.60539428029006</v>
      </c>
      <c r="AC18" s="156"/>
    </row>
    <row r="19" spans="2:29" ht="15.95" customHeight="1" x14ac:dyDescent="0.2">
      <c r="B19" s="315" t="s">
        <v>222</v>
      </c>
      <c r="C19" s="323" t="s">
        <v>140</v>
      </c>
      <c r="D19" s="322">
        <v>210</v>
      </c>
      <c r="E19" s="322">
        <v>180</v>
      </c>
      <c r="F19" s="322">
        <v>160</v>
      </c>
      <c r="H19" s="888"/>
      <c r="I19" s="78" t="s">
        <v>72</v>
      </c>
      <c r="J19" s="78">
        <v>290</v>
      </c>
      <c r="K19" s="80">
        <f>$F$12*J19/1000</f>
        <v>2645.6264999999999</v>
      </c>
      <c r="L19" s="81">
        <f>MIN(8.75,14*(J19^2)-0.4384*J19+42.303)</f>
        <v>8.75</v>
      </c>
      <c r="M19" s="81">
        <f t="shared" si="1"/>
        <v>0.555581565</v>
      </c>
      <c r="N19" s="81">
        <f>$Z$3*'Parab Tilapias '!$E$54*'Suministro de Alimento y O2'!Y19</f>
        <v>2.5398014400000002</v>
      </c>
      <c r="O19" s="81">
        <f t="shared" si="2"/>
        <v>1.9842198750000002</v>
      </c>
      <c r="P19" s="76">
        <f>(1-'Parab Tilapias '!$E$58)*M19*'Parab Tilapias '!$E$57</f>
        <v>1.3083945855749999</v>
      </c>
      <c r="Q19" s="76">
        <f t="shared" si="3"/>
        <v>11.481307023115496</v>
      </c>
      <c r="R19" s="90">
        <f>P19+Q19</f>
        <v>12.789701608690496</v>
      </c>
      <c r="S19" s="444">
        <f>R19/'Parab Tilapias '!$E$40</f>
        <v>0.57143775673895392</v>
      </c>
      <c r="T19" s="455"/>
      <c r="U19" s="888"/>
      <c r="V19" s="77">
        <f t="shared" si="7"/>
        <v>133</v>
      </c>
      <c r="W19" s="154" t="s">
        <v>72</v>
      </c>
      <c r="X19" s="79">
        <v>2.4E-2</v>
      </c>
      <c r="Y19" s="110">
        <f t="shared" si="4"/>
        <v>63.495035999999999</v>
      </c>
      <c r="Z19" s="81">
        <f>N19*'Parab Tilapias '!$E$89</f>
        <v>50.796028800000002</v>
      </c>
      <c r="AA19" s="113">
        <f>'Parab Tilapias '!$E$104*'Suministro de Alimento y O2'!Z19/'Parab Tilapias '!$E$95</f>
        <v>546.02610810810813</v>
      </c>
      <c r="AB19" s="459">
        <f>'Parab Tilapias '!$E$153*AA19</f>
        <v>291.1059620889651</v>
      </c>
      <c r="AC19" s="156"/>
    </row>
    <row r="20" spans="2:29" ht="15.95" customHeight="1" x14ac:dyDescent="0.2">
      <c r="B20" s="315" t="s">
        <v>351</v>
      </c>
      <c r="C20" s="323" t="s">
        <v>94</v>
      </c>
      <c r="D20" s="900">
        <f>'Parab Tilapias '!E13*M32</f>
        <v>0.55052028383519991</v>
      </c>
      <c r="E20" s="901"/>
      <c r="F20" s="324">
        <f>'Parab Tilapias '!E13*M33</f>
        <v>1.1925818293949999</v>
      </c>
      <c r="H20" s="880">
        <v>5</v>
      </c>
      <c r="I20" s="84" t="s">
        <v>74</v>
      </c>
      <c r="J20" s="84">
        <v>8</v>
      </c>
      <c r="K20" s="86">
        <f>$D$12*J20/1000</f>
        <v>76</v>
      </c>
      <c r="L20" s="87">
        <f>0.0014*(J20^2)-0.4384*J20+42.303</f>
        <v>38.885399999999997</v>
      </c>
      <c r="M20" s="87">
        <f t="shared" si="1"/>
        <v>7.0926969600000001E-2</v>
      </c>
      <c r="N20" s="87">
        <f>$X$3*'Parab Tilapias '!$E$54*'Suministro de Alimento y O2'!Y20</f>
        <v>0.26265600000000006</v>
      </c>
      <c r="O20" s="87">
        <f t="shared" si="2"/>
        <v>0.19172903040000006</v>
      </c>
      <c r="P20" s="87">
        <f>(1-'Parab Tilapias '!$E$58)*M20*'Parab Tilapias '!$E$57</f>
        <v>0.167033013408</v>
      </c>
      <c r="Q20" s="87">
        <f t="shared" si="3"/>
        <v>0.55641361252796884</v>
      </c>
      <c r="R20" s="885">
        <f>P20+P21+Q20+Q21</f>
        <v>4.7103408341139463</v>
      </c>
      <c r="S20" s="883">
        <f>R20/'Parab Tilapias '!$E$40</f>
        <v>0.21045577778710658</v>
      </c>
      <c r="T20" s="454"/>
      <c r="U20" s="880">
        <f>U17+1</f>
        <v>5</v>
      </c>
      <c r="V20" s="83">
        <f t="shared" si="7"/>
        <v>28</v>
      </c>
      <c r="W20" s="152" t="s">
        <v>74</v>
      </c>
      <c r="X20" s="85">
        <v>4.8000000000000001E-2</v>
      </c>
      <c r="Y20" s="473">
        <f t="shared" si="4"/>
        <v>3.6480000000000001</v>
      </c>
      <c r="Z20" s="87">
        <f>N20*'Parab Tilapias '!$E$89</f>
        <v>5.2531200000000009</v>
      </c>
      <c r="AA20" s="111">
        <f>'Parab Tilapias '!$E$104*'Suministro de Alimento y O2'!Z20/'Parab Tilapias '!$E$95</f>
        <v>56.467813267813277</v>
      </c>
      <c r="AB20" s="457">
        <f>'Parab Tilapias '!$E$153*AA20</f>
        <v>30.105002058129092</v>
      </c>
      <c r="AC20" s="156"/>
    </row>
    <row r="21" spans="2:29" ht="15.95" customHeight="1" x14ac:dyDescent="0.2">
      <c r="B21" s="325" t="s">
        <v>107</v>
      </c>
      <c r="C21" s="326" t="s">
        <v>94</v>
      </c>
      <c r="D21" s="889">
        <f>D20*'Parab Tilapias '!E69</f>
        <v>1.9653574132916636</v>
      </c>
      <c r="E21" s="890"/>
      <c r="F21" s="327">
        <f>F20*'Parab Tilapias '!E69</f>
        <v>4.2575171309401494</v>
      </c>
      <c r="H21" s="881"/>
      <c r="I21" s="73" t="s">
        <v>73</v>
      </c>
      <c r="J21" s="73">
        <v>70</v>
      </c>
      <c r="K21" s="75">
        <f>$E$12*J21/1000</f>
        <v>645.04999999999995</v>
      </c>
      <c r="L21" s="76">
        <f>0.0014*(J21^2)-0.4384*J21+42.303</f>
        <v>18.474999999999994</v>
      </c>
      <c r="M21" s="76">
        <v>0.18097080480000002</v>
      </c>
      <c r="N21" s="76">
        <f>$Y$3*'Parab Tilapias '!$E$54*'Suministro de Alimento y O2'!Y21</f>
        <v>1.1559295999999999</v>
      </c>
      <c r="O21" s="76">
        <f t="shared" si="2"/>
        <v>0.97495879519999984</v>
      </c>
      <c r="P21" s="76">
        <f>(1-'Parab Tilapias '!$E$58)*M21*'Parab Tilapias '!$E$57</f>
        <v>0.42618624530400007</v>
      </c>
      <c r="Q21" s="76">
        <f t="shared" si="3"/>
        <v>3.5607079628739768</v>
      </c>
      <c r="R21" s="886"/>
      <c r="S21" s="884"/>
      <c r="T21" s="454"/>
      <c r="U21" s="881"/>
      <c r="V21" s="72">
        <f t="shared" si="7"/>
        <v>84</v>
      </c>
      <c r="W21" s="153" t="s">
        <v>73</v>
      </c>
      <c r="X21" s="74">
        <v>3.2000000000000001E-2</v>
      </c>
      <c r="Y21" s="473">
        <f t="shared" si="4"/>
        <v>20.6416</v>
      </c>
      <c r="Z21" s="76">
        <f>N21*'Parab Tilapias '!$E$89</f>
        <v>23.118592</v>
      </c>
      <c r="AA21" s="112">
        <f>'Parab Tilapias '!$E$104*'Suministro de Alimento y O2'!Z21/'Parab Tilapias '!$E$95</f>
        <v>248.51066339066338</v>
      </c>
      <c r="AB21" s="458">
        <f>'Parab Tilapias '!$E$153*AA21</f>
        <v>132.48988405767366</v>
      </c>
      <c r="AC21" s="156"/>
    </row>
    <row r="22" spans="2:29" ht="15.95" customHeight="1" x14ac:dyDescent="0.2">
      <c r="B22" s="325" t="s">
        <v>589</v>
      </c>
      <c r="C22" s="326" t="s">
        <v>94</v>
      </c>
      <c r="D22" s="889">
        <f>'Parab Tilapias '!E13*'Suministro de Alimento y O2'!Q32</f>
        <v>7.9417647669267737</v>
      </c>
      <c r="E22" s="890"/>
      <c r="F22" s="327">
        <f>'Parab Tilapias '!E13*'Suministro de Alimento y O2'!Q33</f>
        <v>24.17045557832305</v>
      </c>
      <c r="H22" s="888"/>
      <c r="I22" s="78" t="s">
        <v>72</v>
      </c>
      <c r="J22" s="78">
        <v>330</v>
      </c>
      <c r="K22" s="80">
        <f>$F$12*J22/1000</f>
        <v>3010.5405000000001</v>
      </c>
      <c r="L22" s="81">
        <f>MIN(8.75,14*(J22^2)-0.4384*J22+42.303)</f>
        <v>8.75</v>
      </c>
      <c r="M22" s="81">
        <f>24*K22*L22/1000000</f>
        <v>0.63221350500000018</v>
      </c>
      <c r="N22" s="81">
        <f>$Z$3*'Parab Tilapias '!$E$54*'Suministro de Alimento y O2'!Y22</f>
        <v>2.76969726</v>
      </c>
      <c r="O22" s="81">
        <f t="shared" si="2"/>
        <v>2.1374837549999999</v>
      </c>
      <c r="P22" s="76">
        <f>(1-'Parab Tilapias '!$E$58)*M22*'Parab Tilapias '!$E$57</f>
        <v>1.4888628042750005</v>
      </c>
      <c r="Q22" s="76">
        <f t="shared" si="3"/>
        <v>12.741912344090286</v>
      </c>
      <c r="R22" s="90">
        <f>P22+Q22</f>
        <v>14.230775148365286</v>
      </c>
      <c r="S22" s="444">
        <f>R22/'Parab Tilapias '!$E$40</f>
        <v>0.6358242339221335</v>
      </c>
      <c r="T22" s="455"/>
      <c r="U22" s="888"/>
      <c r="V22" s="77">
        <f t="shared" si="7"/>
        <v>140</v>
      </c>
      <c r="W22" s="154" t="s">
        <v>72</v>
      </c>
      <c r="X22" s="79">
        <v>2.3E-2</v>
      </c>
      <c r="Y22" s="110">
        <f t="shared" si="4"/>
        <v>69.242431499999995</v>
      </c>
      <c r="Z22" s="81">
        <f>N22*'Parab Tilapias '!$E$89</f>
        <v>55.393945200000005</v>
      </c>
      <c r="AA22" s="113">
        <f>'Parab Tilapias '!$E$104*'Suministro de Alimento y O2'!Z22/'Parab Tilapias '!$E$95</f>
        <v>595.4508851351352</v>
      </c>
      <c r="AB22" s="459">
        <f>'Parab Tilapias '!$E$153*AA22</f>
        <v>317.45607072632833</v>
      </c>
      <c r="AC22" s="156"/>
    </row>
    <row r="23" spans="2:29" ht="15.95" customHeight="1" x14ac:dyDescent="0.2">
      <c r="B23" s="97" t="s">
        <v>200</v>
      </c>
      <c r="C23" s="96"/>
      <c r="D23" s="902">
        <f>S29</f>
        <v>0.35903248511639735</v>
      </c>
      <c r="E23" s="903"/>
      <c r="F23" s="162">
        <f>S31</f>
        <v>0.81979220804864172</v>
      </c>
      <c r="H23" s="880">
        <v>6</v>
      </c>
      <c r="I23" s="84" t="s">
        <v>74</v>
      </c>
      <c r="J23" s="84">
        <v>12</v>
      </c>
      <c r="K23" s="86">
        <f>$D$12*J23/1000</f>
        <v>114</v>
      </c>
      <c r="L23" s="87">
        <f>0.0014*(J23^2)-0.4384*J23+42.303</f>
        <v>37.2438</v>
      </c>
      <c r="M23" s="87">
        <f>24*K23*L23/1000000</f>
        <v>0.1018990368</v>
      </c>
      <c r="N23" s="87">
        <f>$X$3*'Parab Tilapias '!$E$54*'Suministro de Alimento y O2'!Y23</f>
        <v>0.37756800000000001</v>
      </c>
      <c r="O23" s="87">
        <f t="shared" si="2"/>
        <v>0.27566896320000001</v>
      </c>
      <c r="P23" s="87">
        <f>(1-'Parab Tilapias '!$E$58)*M23*'Parab Tilapias '!$E$57</f>
        <v>0.23997223166399997</v>
      </c>
      <c r="Q23" s="87">
        <f t="shared" si="3"/>
        <v>0.79623682105382898</v>
      </c>
      <c r="R23" s="885">
        <f>P23+P24+Q23+Q24</f>
        <v>5.6598269107268706</v>
      </c>
      <c r="S23" s="883">
        <f>R23/'Parab Tilapias '!$E$40</f>
        <v>0.25287836200954744</v>
      </c>
      <c r="T23" s="454"/>
      <c r="U23" s="880">
        <f>U20+1</f>
        <v>6</v>
      </c>
      <c r="V23" s="83">
        <f t="shared" si="7"/>
        <v>35</v>
      </c>
      <c r="W23" s="152" t="s">
        <v>74</v>
      </c>
      <c r="X23" s="85">
        <v>4.5999999999999999E-2</v>
      </c>
      <c r="Y23" s="473">
        <f t="shared" si="4"/>
        <v>5.2439999999999998</v>
      </c>
      <c r="Z23" s="87">
        <f>N23*'Parab Tilapias '!$E$89</f>
        <v>7.5513600000000007</v>
      </c>
      <c r="AA23" s="111">
        <f>'Parab Tilapias '!$E$104*'Suministro de Alimento y O2'!Z23/'Parab Tilapias '!$E$95</f>
        <v>81.172481572481573</v>
      </c>
      <c r="AB23" s="457">
        <f>'Parab Tilapias '!$E$153*AA23</f>
        <v>43.275940458560562</v>
      </c>
      <c r="AC23" s="156"/>
    </row>
    <row r="24" spans="2:29" ht="15.95" customHeight="1" x14ac:dyDescent="0.2">
      <c r="B24" s="97" t="s">
        <v>199</v>
      </c>
      <c r="C24" s="96"/>
      <c r="D24" s="902">
        <f>S32</f>
        <v>0.20638007529566857</v>
      </c>
      <c r="E24" s="903"/>
      <c r="F24" s="162">
        <f>S33</f>
        <v>0.60270409696195226</v>
      </c>
      <c r="H24" s="881"/>
      <c r="I24" s="73" t="s">
        <v>73</v>
      </c>
      <c r="J24" s="73">
        <v>85</v>
      </c>
      <c r="K24" s="75">
        <f>$E$12*J24/1000</f>
        <v>783.27499999999998</v>
      </c>
      <c r="L24" s="76">
        <f>0.0014*(J24^2)-0.4384*J24+42.303</f>
        <v>15.153999999999996</v>
      </c>
      <c r="M24" s="76">
        <v>0.18097080480000002</v>
      </c>
      <c r="N24" s="76">
        <f>$Y$3*'Parab Tilapias '!$E$54*'Suministro de Alimento y O2'!Y24</f>
        <v>1.3159019999999999</v>
      </c>
      <c r="O24" s="76">
        <f t="shared" si="2"/>
        <v>1.1349311951999999</v>
      </c>
      <c r="P24" s="76">
        <f>(1-'Parab Tilapias '!$E$58)*M24*'Parab Tilapias '!$E$57</f>
        <v>0.42618624530400007</v>
      </c>
      <c r="Q24" s="76">
        <f t="shared" si="3"/>
        <v>4.1974316127050422</v>
      </c>
      <c r="R24" s="886"/>
      <c r="S24" s="884"/>
      <c r="T24" s="454"/>
      <c r="U24" s="881"/>
      <c r="V24" s="72">
        <f t="shared" si="7"/>
        <v>91</v>
      </c>
      <c r="W24" s="153" t="s">
        <v>73</v>
      </c>
      <c r="X24" s="74">
        <v>0.03</v>
      </c>
      <c r="Y24" s="473">
        <f t="shared" si="4"/>
        <v>23.498249999999999</v>
      </c>
      <c r="Z24" s="76">
        <f>N24*'Parab Tilapias '!$E$89</f>
        <v>26.318039999999996</v>
      </c>
      <c r="AA24" s="112">
        <f>'Parab Tilapias '!$E$104*'Suministro de Alimento y O2'!Z24/'Parab Tilapias '!$E$95</f>
        <v>282.9027641277641</v>
      </c>
      <c r="AB24" s="458">
        <f>'Parab Tilapias '!$E$153*AA24</f>
        <v>150.82553765494097</v>
      </c>
      <c r="AC24" s="156"/>
    </row>
    <row r="25" spans="2:29" ht="15.95" customHeight="1" x14ac:dyDescent="0.2">
      <c r="B25" s="325" t="s">
        <v>90</v>
      </c>
      <c r="C25" s="326" t="s">
        <v>91</v>
      </c>
      <c r="D25" s="891">
        <f>'Parab Tilapias '!E13*D24*'Parrilla de Aireación'!E43*24*365</f>
        <v>6187.9677421501856</v>
      </c>
      <c r="E25" s="892"/>
      <c r="F25" s="329">
        <f>2*F24*'Parrilla de Aireación'!E43*24*365</f>
        <v>18071.09288393884</v>
      </c>
      <c r="H25" s="888"/>
      <c r="I25" s="78" t="s">
        <v>72</v>
      </c>
      <c r="J25" s="78">
        <v>380</v>
      </c>
      <c r="K25" s="80">
        <f>$F$12*J25/1000</f>
        <v>3466.683</v>
      </c>
      <c r="L25" s="81">
        <f>MIN(8.75,14*(J25^2)-0.4384*J25+42.303)</f>
        <v>8.75</v>
      </c>
      <c r="M25" s="81">
        <f>24*K25*L25/1000000</f>
        <v>0.7280034299999999</v>
      </c>
      <c r="N25" s="81">
        <f>$Z$3*'Parab Tilapias '!$E$54*'Suministro de Alimento y O2'!Y25</f>
        <v>3.0506810400000002</v>
      </c>
      <c r="O25" s="81">
        <f t="shared" si="2"/>
        <v>2.3226776100000004</v>
      </c>
      <c r="P25" s="76">
        <f>(1-'Parab Tilapias '!$E$58)*M25*'Parab Tilapias '!$E$57</f>
        <v>1.7144480776499997</v>
      </c>
      <c r="Q25" s="76">
        <f t="shared" si="3"/>
        <v>14.266377427637901</v>
      </c>
      <c r="R25" s="90">
        <f>P25+Q25</f>
        <v>15.9808255052879</v>
      </c>
      <c r="S25" s="444">
        <f>R25/'Parab Tilapias '!$E$40</f>
        <v>0.71401564766555825</v>
      </c>
      <c r="T25" s="455"/>
      <c r="U25" s="888"/>
      <c r="V25" s="77">
        <f t="shared" si="7"/>
        <v>147</v>
      </c>
      <c r="W25" s="154" t="s">
        <v>72</v>
      </c>
      <c r="X25" s="79">
        <v>2.1999999999999999E-2</v>
      </c>
      <c r="Y25" s="110">
        <f t="shared" si="4"/>
        <v>76.267026000000001</v>
      </c>
      <c r="Z25" s="81">
        <f>N25*'Parab Tilapias '!$E$89</f>
        <v>61.013620800000005</v>
      </c>
      <c r="AA25" s="113">
        <f>'Parab Tilapias '!$E$104*'Suministro de Alimento y O2'!Z25/'Parab Tilapias '!$E$95</f>
        <v>655.85894594594595</v>
      </c>
      <c r="AB25" s="459">
        <f>'Parab Tilapias '!$E$153*AA25</f>
        <v>349.66175906088336</v>
      </c>
      <c r="AC25" s="156"/>
    </row>
    <row r="26" spans="2:29" ht="15.95" customHeight="1" x14ac:dyDescent="0.2">
      <c r="B26" s="325" t="s">
        <v>136</v>
      </c>
      <c r="C26" s="326" t="s">
        <v>94</v>
      </c>
      <c r="D26" s="889">
        <f>'Parab Tilapias '!E13*N32</f>
        <v>2.7509758000000017</v>
      </c>
      <c r="E26" s="890"/>
      <c r="F26" s="327">
        <f>'Parab Tilapias '!E13*N33</f>
        <v>5.2027613549999998</v>
      </c>
      <c r="H26" s="880">
        <v>7</v>
      </c>
      <c r="I26" s="84" t="s">
        <v>74</v>
      </c>
      <c r="J26" s="84">
        <v>15</v>
      </c>
      <c r="K26" s="86">
        <f>$D$12*J26/1000</f>
        <v>142.5</v>
      </c>
      <c r="L26" s="87">
        <f>0.0014*(J26^2)-0.4384*J26+42.303</f>
        <v>36.041999999999994</v>
      </c>
      <c r="M26" s="87">
        <f>24*K26*L26/1000000</f>
        <v>0.12326363999999998</v>
      </c>
      <c r="N26" s="87">
        <f>$X$3*'Parab Tilapias '!$E$54*'Suministro de Alimento y O2'!Y26</f>
        <v>0.45144000000000001</v>
      </c>
      <c r="O26" s="87">
        <f t="shared" si="2"/>
        <v>0.32817636000000006</v>
      </c>
      <c r="P26" s="87">
        <f>(1-'Parab Tilapias '!$E$58)*M26*'Parab Tilapias '!$E$57</f>
        <v>0.29028587219999996</v>
      </c>
      <c r="Q26" s="87">
        <f t="shared" si="3"/>
        <v>0.96889100360317326</v>
      </c>
      <c r="R26" s="885">
        <f>P26+P27+Q26+Q27</f>
        <v>6.4991562644745553</v>
      </c>
      <c r="S26" s="883">
        <f>R26/'Parab Tilapias '!$E$40</f>
        <v>0.29037919648912841</v>
      </c>
      <c r="T26" s="454"/>
      <c r="U26" s="880">
        <f>U23+1</f>
        <v>7</v>
      </c>
      <c r="V26" s="83">
        <f t="shared" si="7"/>
        <v>42</v>
      </c>
      <c r="W26" s="152" t="s">
        <v>74</v>
      </c>
      <c r="X26" s="85">
        <v>4.3999999999999997E-2</v>
      </c>
      <c r="Y26" s="473">
        <f t="shared" si="4"/>
        <v>6.27</v>
      </c>
      <c r="Z26" s="87">
        <f>N26*'Parab Tilapias '!$E$89</f>
        <v>9.0288000000000004</v>
      </c>
      <c r="AA26" s="111">
        <f>'Parab Tilapias '!$E$104*'Suministro de Alimento y O2'!Z26/'Parab Tilapias '!$E$95</f>
        <v>97.054054054054049</v>
      </c>
      <c r="AB26" s="457">
        <f>'Parab Tilapias '!$E$153*AA26</f>
        <v>51.742972287409366</v>
      </c>
      <c r="AC26" s="156"/>
    </row>
    <row r="27" spans="2:29" ht="15.95" customHeight="1" x14ac:dyDescent="0.2">
      <c r="B27" s="325" t="s">
        <v>142</v>
      </c>
      <c r="C27" s="326" t="s">
        <v>94</v>
      </c>
      <c r="D27" s="889">
        <f>D26/'Parab Tilapias '!E56</f>
        <v>5.9803821739130472</v>
      </c>
      <c r="E27" s="890"/>
      <c r="F27" s="327">
        <f>F26/'Parab Tilapias '!E56</f>
        <v>11.310350771739129</v>
      </c>
      <c r="H27" s="881"/>
      <c r="I27" s="73" t="s">
        <v>73</v>
      </c>
      <c r="J27" s="73">
        <v>100</v>
      </c>
      <c r="K27" s="75">
        <f>$E$12*J27/1000</f>
        <v>921.5</v>
      </c>
      <c r="L27" s="76">
        <f>0.0014*(J27^2)-0.4384*J27+42.303</f>
        <v>12.462999999999994</v>
      </c>
      <c r="M27" s="76">
        <v>0.18097080480000002</v>
      </c>
      <c r="N27" s="76">
        <f>$Y$3*'Parab Tilapias '!$E$54*'Suministro de Alimento y O2'!Y27</f>
        <v>1.496516</v>
      </c>
      <c r="O27" s="76">
        <f t="shared" si="2"/>
        <v>1.3155451951999999</v>
      </c>
      <c r="P27" s="76">
        <f>(1-'Parab Tilapias '!$E$58)*M27*'Parab Tilapias '!$E$57</f>
        <v>0.42618624530400007</v>
      </c>
      <c r="Q27" s="76">
        <f t="shared" si="3"/>
        <v>4.8137931433673824</v>
      </c>
      <c r="R27" s="886"/>
      <c r="S27" s="884"/>
      <c r="T27" s="454"/>
      <c r="U27" s="881"/>
      <c r="V27" s="72">
        <f t="shared" si="7"/>
        <v>98</v>
      </c>
      <c r="W27" s="153" t="s">
        <v>73</v>
      </c>
      <c r="X27" s="74">
        <v>2.9000000000000001E-2</v>
      </c>
      <c r="Y27" s="473">
        <f t="shared" si="4"/>
        <v>26.723500000000001</v>
      </c>
      <c r="Z27" s="76">
        <f>N27*'Parab Tilapias '!$E$89</f>
        <v>29.930319999999998</v>
      </c>
      <c r="AA27" s="112">
        <f>'Parab Tilapias '!$E$104*'Suministro de Alimento y O2'!Z27/'Parab Tilapias '!$E$95</f>
        <v>321.73255528255527</v>
      </c>
      <c r="AB27" s="458">
        <f>'Parab Tilapias '!$E$153*AA27</f>
        <v>171.5270820389525</v>
      </c>
      <c r="AC27" s="156"/>
    </row>
    <row r="28" spans="2:29" ht="15.95" customHeight="1" x14ac:dyDescent="0.2">
      <c r="B28" s="315" t="s">
        <v>176</v>
      </c>
      <c r="C28" s="323" t="s">
        <v>94</v>
      </c>
      <c r="D28" s="900">
        <f>'Parab Tilapias '!E13*Z32</f>
        <v>55.01951600000001</v>
      </c>
      <c r="E28" s="901"/>
      <c r="F28" s="324">
        <f>'Parab Tilapias '!E13*Z33</f>
        <v>104.05522710000002</v>
      </c>
      <c r="H28" s="888"/>
      <c r="I28" s="78" t="s">
        <v>72</v>
      </c>
      <c r="J28" s="78">
        <v>420</v>
      </c>
      <c r="K28" s="80">
        <f>$F$12*J28/1000</f>
        <v>3831.5970000000002</v>
      </c>
      <c r="L28" s="81">
        <f>MIN(8.75,14*(J28^2)-0.4384*J28+42.303)</f>
        <v>8.75</v>
      </c>
      <c r="M28" s="81">
        <f>24*K28*L28/1000000</f>
        <v>0.80463537000000007</v>
      </c>
      <c r="N28" s="81">
        <f>$Z$3*'Parab Tilapias '!$E$54*'Suministro de Alimento y O2'!Y28</f>
        <v>3.2185414800000003</v>
      </c>
      <c r="O28" s="81">
        <f t="shared" si="2"/>
        <v>2.4139061100000001</v>
      </c>
      <c r="P28" s="76">
        <f>(1-'Parab Tilapias '!$E$58)*M28*'Parab Tilapias '!$E$57</f>
        <v>1.8949162963500001</v>
      </c>
      <c r="Q28" s="76">
        <f t="shared" si="3"/>
        <v>15.449660007565498</v>
      </c>
      <c r="R28" s="90">
        <f>P28+Q28</f>
        <v>17.344576303915499</v>
      </c>
      <c r="S28" s="444">
        <f>R28/'Parab Tilapias '!$E$40</f>
        <v>0.77494738172487243</v>
      </c>
      <c r="T28" s="455"/>
      <c r="U28" s="888"/>
      <c r="V28" s="77">
        <f t="shared" si="7"/>
        <v>154</v>
      </c>
      <c r="W28" s="154" t="s">
        <v>72</v>
      </c>
      <c r="X28" s="79">
        <v>2.1000000000000001E-2</v>
      </c>
      <c r="Y28" s="110">
        <f t="shared" si="4"/>
        <v>80.463537000000002</v>
      </c>
      <c r="Z28" s="81">
        <f>N28*'Parab Tilapias '!$E$89</f>
        <v>64.370829600000008</v>
      </c>
      <c r="AA28" s="113">
        <f>'Parab Tilapias '!$E$104*'Suministro de Alimento y O2'!Z28/'Parab Tilapias '!$E$95</f>
        <v>691.94687837837853</v>
      </c>
      <c r="AB28" s="459">
        <f>'Parab Tilapias '!$E$153*AA28</f>
        <v>368.90152092308517</v>
      </c>
      <c r="AC28" s="156"/>
    </row>
    <row r="29" spans="2:29" ht="15.95" customHeight="1" x14ac:dyDescent="0.2">
      <c r="B29" s="325" t="s">
        <v>205</v>
      </c>
      <c r="C29" s="326" t="s">
        <v>94</v>
      </c>
      <c r="D29" s="891">
        <f>'Parab Tilapias '!E13*AA32/3.5</f>
        <v>168.97885749385745</v>
      </c>
      <c r="E29" s="892"/>
      <c r="F29" s="329">
        <f>'Parab Tilapias '!E13*AA33/3.5</f>
        <v>319.57993581081081</v>
      </c>
      <c r="H29" s="880">
        <v>8</v>
      </c>
      <c r="I29" s="84" t="s">
        <v>74</v>
      </c>
      <c r="J29" s="84">
        <v>20</v>
      </c>
      <c r="K29" s="476">
        <f>$D$12*J29/1000</f>
        <v>190</v>
      </c>
      <c r="L29" s="87">
        <f>0.0014*(J29^2)-0.4384*J29+42.303</f>
        <v>34.094999999999999</v>
      </c>
      <c r="M29" s="87">
        <f>24*K29*L29/1000000</f>
        <v>0.15547319999999998</v>
      </c>
      <c r="N29" s="87">
        <f>$X$3*'Parab Tilapias '!$E$54*'Suministro de Alimento y O2'!Y29</f>
        <v>0.57456000000000007</v>
      </c>
      <c r="O29" s="87">
        <f t="shared" si="2"/>
        <v>0.41908680000000009</v>
      </c>
      <c r="P29" s="87">
        <f>(1-'Parab Tilapias '!$E$58)*M29*'Parab Tilapias '!$E$57</f>
        <v>0.36613938599999996</v>
      </c>
      <c r="Q29" s="87">
        <f t="shared" si="3"/>
        <v>1.2464653448077456</v>
      </c>
      <c r="R29" s="885">
        <f>P29+P30+Q29+Q30</f>
        <v>8.0357279481674659</v>
      </c>
      <c r="S29" s="883">
        <f>R29/'Parab Tilapias '!$E$40</f>
        <v>0.35903248511639735</v>
      </c>
      <c r="T29" s="454"/>
      <c r="U29" s="880">
        <f>U26+1</f>
        <v>8</v>
      </c>
      <c r="V29" s="83">
        <f t="shared" si="7"/>
        <v>49</v>
      </c>
      <c r="W29" s="152" t="s">
        <v>74</v>
      </c>
      <c r="X29" s="85">
        <v>4.2000000000000003E-2</v>
      </c>
      <c r="Y29" s="473">
        <f t="shared" si="4"/>
        <v>7.98</v>
      </c>
      <c r="Z29" s="87">
        <f>N29*'Parab Tilapias '!$E$89</f>
        <v>11.491200000000001</v>
      </c>
      <c r="AA29" s="111">
        <f>'Parab Tilapias '!$E$104*'Suministro de Alimento y O2'!Z29/'Parab Tilapias '!$E$95</f>
        <v>123.52334152334153</v>
      </c>
      <c r="AB29" s="457">
        <f>'Parab Tilapias '!$E$153*AA29</f>
        <v>65.854692002157378</v>
      </c>
      <c r="AC29" s="156"/>
    </row>
    <row r="30" spans="2:29" ht="15.95" customHeight="1" x14ac:dyDescent="0.2">
      <c r="B30" s="325" t="s">
        <v>375</v>
      </c>
      <c r="C30" s="326" t="s">
        <v>94</v>
      </c>
      <c r="D30" s="891">
        <f>D29*'Parab Tilapias '!E153</f>
        <v>90.088646225876417</v>
      </c>
      <c r="E30" s="892"/>
      <c r="F30" s="329">
        <f>F29*'Parab Tilapias '!E153</f>
        <v>170.37944394431116</v>
      </c>
      <c r="H30" s="881"/>
      <c r="I30" s="73" t="s">
        <v>73</v>
      </c>
      <c r="J30" s="73">
        <v>130</v>
      </c>
      <c r="K30" s="75">
        <f>$E$12*J30/1000</f>
        <v>1197.95</v>
      </c>
      <c r="L30" s="76">
        <f>0.0014*(J30^2)-0.4384*J30+42.303</f>
        <v>8.9709999999999894</v>
      </c>
      <c r="M30" s="76">
        <v>0.18097080480000002</v>
      </c>
      <c r="N30" s="76">
        <f>$Y$3*'Parab Tilapias '!$E$54*'Suministro de Alimento y O2'!Y30</f>
        <v>1.8783855999999999</v>
      </c>
      <c r="O30" s="76">
        <f t="shared" si="2"/>
        <v>1.6974147951999998</v>
      </c>
      <c r="P30" s="76">
        <f>(1-'Parab Tilapias '!$E$58)*M30*'Parab Tilapias '!$E$57</f>
        <v>0.42618624530400007</v>
      </c>
      <c r="Q30" s="76">
        <f t="shared" si="3"/>
        <v>5.9969369720557211</v>
      </c>
      <c r="R30" s="886"/>
      <c r="S30" s="884"/>
      <c r="T30" s="454"/>
      <c r="U30" s="881"/>
      <c r="V30" s="72">
        <f t="shared" si="7"/>
        <v>105</v>
      </c>
      <c r="W30" s="153" t="s">
        <v>73</v>
      </c>
      <c r="X30" s="74">
        <v>2.8000000000000001E-2</v>
      </c>
      <c r="Y30" s="76">
        <f t="shared" si="4"/>
        <v>33.5426</v>
      </c>
      <c r="Z30" s="76">
        <f>N30*'Parab Tilapias '!$E$89</f>
        <v>37.567712</v>
      </c>
      <c r="AA30" s="112">
        <f>'Parab Tilapias '!$E$104*'Suministro de Alimento y O2'!Z30/'Parab Tilapias '!$E$95</f>
        <v>403.82982800982796</v>
      </c>
      <c r="AB30" s="458">
        <f>'Parab Tilapias '!$E$153*AA30</f>
        <v>215.29606159371966</v>
      </c>
      <c r="AC30" s="156"/>
    </row>
    <row r="31" spans="2:29" ht="15.95" customHeight="1" thickBot="1" x14ac:dyDescent="0.25">
      <c r="B31" s="325" t="s">
        <v>206</v>
      </c>
      <c r="C31" s="326" t="s">
        <v>94</v>
      </c>
      <c r="D31" s="395"/>
      <c r="E31" s="394">
        <f>'Parab Tilapias '!E13*SUM(Z29:Z31)/'Parab Tilapias '!E95</f>
        <v>704.81223587223599</v>
      </c>
      <c r="F31" s="396"/>
      <c r="H31" s="887"/>
      <c r="I31" s="453" t="s">
        <v>430</v>
      </c>
      <c r="J31" s="446">
        <v>450</v>
      </c>
      <c r="K31" s="447">
        <f>$F$12*J31/1000</f>
        <v>4105.2825000000003</v>
      </c>
      <c r="L31" s="448">
        <f>MIN(8.75,14*(J31^2)-0.4384*J31+42.303)</f>
        <v>8.75</v>
      </c>
      <c r="M31" s="449">
        <f>24*K31*L31/1000000</f>
        <v>0.86210932499999993</v>
      </c>
      <c r="N31" s="449">
        <f>$Z$3*'Parab Tilapias '!$E$54*'Suministro de Alimento y O2'!Y31</f>
        <v>3.2842260000000003</v>
      </c>
      <c r="O31" s="449">
        <f t="shared" si="2"/>
        <v>2.4221166750000003</v>
      </c>
      <c r="P31" s="449">
        <f>(1-'Parab Tilapias '!$E$58)*M31*'Parab Tilapias '!$E$57</f>
        <v>2.0302674603749997</v>
      </c>
      <c r="Q31" s="449">
        <f t="shared" si="3"/>
        <v>16.318008617681549</v>
      </c>
      <c r="R31" s="450">
        <f>P31+Q31</f>
        <v>18.34827607805655</v>
      </c>
      <c r="S31" s="451">
        <f>R31/'Parab Tilapias '!$E$40</f>
        <v>0.81979220804864172</v>
      </c>
      <c r="T31" s="455"/>
      <c r="U31" s="887"/>
      <c r="V31" s="460">
        <f t="shared" si="7"/>
        <v>161</v>
      </c>
      <c r="W31" s="461" t="s">
        <v>72</v>
      </c>
      <c r="X31" s="462">
        <v>0.02</v>
      </c>
      <c r="Y31" s="463">
        <f t="shared" si="4"/>
        <v>82.105650000000011</v>
      </c>
      <c r="Z31" s="463">
        <f>N31*'Parab Tilapias '!$E$89</f>
        <v>65.684520000000006</v>
      </c>
      <c r="AA31" s="464">
        <f>'Parab Tilapias '!$E$104*'Suministro de Alimento y O2'!Z31/'Parab Tilapias '!$E$95</f>
        <v>706.06824324324327</v>
      </c>
      <c r="AB31" s="465">
        <f>'Parab Tilapias '!$E$153*AA31</f>
        <v>376.43012339090319</v>
      </c>
      <c r="AC31" s="156"/>
    </row>
    <row r="32" spans="2:29" ht="15.95" customHeight="1" x14ac:dyDescent="0.2">
      <c r="B32" s="325" t="s">
        <v>213</v>
      </c>
      <c r="C32" s="326" t="s">
        <v>214</v>
      </c>
      <c r="D32" s="397"/>
      <c r="E32" s="394">
        <f>'Parab Tilapias '!E13*SUM(AA32:AA33)*365/(3.5*1000)</f>
        <v>178.32395955620393</v>
      </c>
      <c r="F32" s="391"/>
      <c r="H32" s="88"/>
      <c r="J32" s="114" t="s">
        <v>395</v>
      </c>
      <c r="K32" s="80">
        <f>((SUM(K8:K31)-$H$29*K33))/$H$29</f>
        <v>707.02562499999976</v>
      </c>
      <c r="L32" s="81"/>
      <c r="M32" s="436">
        <f>((SUM(M8:M31)-$H$29*M33))/$H$29</f>
        <v>0.27526014191759995</v>
      </c>
      <c r="N32" s="436">
        <f>((SUM(N8:N31)-$H$29*N33))/$H$29</f>
        <v>1.3754879000000009</v>
      </c>
      <c r="O32" s="436">
        <f>((SUM(O8:O31)-$H$29*O33))/$H$29</f>
        <v>1.1002277580823998</v>
      </c>
      <c r="P32" s="436">
        <f>((SUM(P8:P31)-$H$29*P33))/$H$29</f>
        <v>0.64823763421594816</v>
      </c>
      <c r="Q32" s="436">
        <f>((SUM(Q8:Q31)-$H$29*Q33))/$H$29</f>
        <v>3.9708823834633868</v>
      </c>
      <c r="R32" s="436"/>
      <c r="S32" s="437">
        <f>(S8+S11+S14+S17+S20+S23+S26+S29)/8</f>
        <v>0.20638007529566857</v>
      </c>
      <c r="T32" s="134"/>
      <c r="U32" s="531"/>
      <c r="V32" s="532"/>
      <c r="W32" s="532"/>
      <c r="X32" s="533" t="s">
        <v>170</v>
      </c>
      <c r="Y32" s="436">
        <f>((SUM(Y8:Y31)-$H$29*Y33))/$H$29</f>
        <v>23.514400000000009</v>
      </c>
      <c r="Z32" s="436">
        <f>((SUM(Z8:Z31)-$H$29*Z33))/$H$29</f>
        <v>27.509758000000005</v>
      </c>
      <c r="AA32" s="80">
        <f>((SUM(AA8:AA31)-$H$29*AA33))/$H$29</f>
        <v>295.71300061425052</v>
      </c>
      <c r="AB32" s="389">
        <f>'Parab Tilapias '!$E$153*AA32</f>
        <v>157.65513089528372</v>
      </c>
      <c r="AC32" s="157"/>
    </row>
    <row r="33" spans="2:30" ht="15.95" customHeight="1" x14ac:dyDescent="0.2">
      <c r="B33" s="330" t="s">
        <v>321</v>
      </c>
      <c r="C33" s="323" t="s">
        <v>113</v>
      </c>
      <c r="D33" s="331"/>
      <c r="E33" s="332">
        <v>100</v>
      </c>
      <c r="F33" s="383"/>
      <c r="H33" s="88"/>
      <c r="J33" s="114" t="s">
        <v>145</v>
      </c>
      <c r="K33" s="89">
        <f>(K10+K13+K16+K19+K22+K25+K28+K31)/$H$29</f>
        <v>2850.8906250000005</v>
      </c>
      <c r="L33" s="90"/>
      <c r="M33" s="91">
        <f t="shared" ref="M33:S33" si="8">(M10+M13+M16+M19+M22+M25+M28+M31)/$H$29</f>
        <v>0.59629091469749995</v>
      </c>
      <c r="N33" s="94">
        <f t="shared" si="8"/>
        <v>2.6013806774999999</v>
      </c>
      <c r="O33" s="94">
        <f t="shared" si="8"/>
        <v>2.0050897628025002</v>
      </c>
      <c r="P33" s="94">
        <f t="shared" si="8"/>
        <v>1.4042651041126124</v>
      </c>
      <c r="Q33" s="94">
        <f t="shared" si="8"/>
        <v>12.085227789161525</v>
      </c>
      <c r="R33" s="94">
        <f t="shared" si="8"/>
        <v>13.489492893274136</v>
      </c>
      <c r="S33" s="133">
        <f t="shared" si="8"/>
        <v>0.60270409696195226</v>
      </c>
      <c r="T33" s="134"/>
      <c r="U33" s="534"/>
      <c r="V33" s="535"/>
      <c r="W33" s="535"/>
      <c r="X33" s="536" t="s">
        <v>145</v>
      </c>
      <c r="Y33" s="94">
        <f>(Y10+Y13+Y16+Y19+Y22+Y25+Y28+Y31)/$H$29</f>
        <v>65.034516937499987</v>
      </c>
      <c r="Z33" s="91">
        <f>(Z10+Z13+Z16+Z19+Z22+Z25+Z28+Z31)/$H$29</f>
        <v>52.027613550000012</v>
      </c>
      <c r="AA33" s="89">
        <f>(AA10+AA13+AA16+AA19+AA22+AA25+AA28+AA31)/$H$29</f>
        <v>559.26488766891896</v>
      </c>
      <c r="AB33" s="389">
        <f>'Parab Tilapias '!$E$153*AA33</f>
        <v>298.16402690254455</v>
      </c>
      <c r="AC33" s="158"/>
    </row>
    <row r="34" spans="2:30" ht="15.95" customHeight="1" x14ac:dyDescent="0.2">
      <c r="B34" s="330" t="s">
        <v>322</v>
      </c>
      <c r="C34" s="323" t="s">
        <v>113</v>
      </c>
      <c r="D34" s="331"/>
      <c r="E34" s="332">
        <v>17</v>
      </c>
      <c r="F34" s="383"/>
      <c r="H34" s="88"/>
      <c r="J34" s="114" t="s">
        <v>141</v>
      </c>
      <c r="K34" s="92">
        <f>SUM(K8:K31)/$H$29</f>
        <v>3557.9162500000002</v>
      </c>
      <c r="L34" s="90"/>
      <c r="M34" s="93">
        <f>SUM(M8:M31)/$H$29</f>
        <v>0.87155105661509991</v>
      </c>
      <c r="N34" s="93">
        <f>SUM(N8:N31)/$H$29</f>
        <v>3.9768685775000008</v>
      </c>
      <c r="O34" s="93">
        <f>SUM(O8:O31)/$H$29</f>
        <v>3.1053175208849</v>
      </c>
      <c r="P34" s="93">
        <f>SUM(P8:P31)/$H$29</f>
        <v>2.0525027383285606</v>
      </c>
      <c r="Q34" s="93">
        <f>SUM(Q8:Q31)/$H$29</f>
        <v>16.056110172624912</v>
      </c>
      <c r="R34" s="93"/>
      <c r="S34" s="292">
        <f>(S32+S33)/2</f>
        <v>0.40454208612881043</v>
      </c>
      <c r="T34" s="135"/>
      <c r="U34" s="534"/>
      <c r="V34" s="535"/>
      <c r="W34" s="535"/>
      <c r="X34" s="537" t="s">
        <v>184</v>
      </c>
      <c r="Y34" s="121">
        <f>SUM(Y29:Y31)</f>
        <v>123.62825000000001</v>
      </c>
      <c r="Z34" s="121">
        <f>SUM(Z29:Z31)</f>
        <v>114.74343200000001</v>
      </c>
      <c r="AA34" s="92">
        <f>SUM(AA29:AA31)</f>
        <v>1233.4214127764128</v>
      </c>
      <c r="AB34" s="151">
        <f>SUM(AB29:AB31)</f>
        <v>657.58087698678025</v>
      </c>
      <c r="AC34" s="159"/>
    </row>
    <row r="35" spans="2:30" ht="15.95" customHeight="1" x14ac:dyDescent="0.2">
      <c r="B35" s="142" t="s">
        <v>321</v>
      </c>
      <c r="C35" s="141" t="s">
        <v>113</v>
      </c>
      <c r="D35" s="808"/>
      <c r="E35" s="809">
        <f>E33+E34</f>
        <v>117</v>
      </c>
      <c r="F35" s="810"/>
      <c r="J35" s="115" t="s">
        <v>144</v>
      </c>
      <c r="K35" s="92">
        <f>SUM(K29:K31)</f>
        <v>5493.2325000000001</v>
      </c>
      <c r="L35" s="121"/>
      <c r="M35" s="121">
        <f>M31</f>
        <v>0.86210932499999993</v>
      </c>
      <c r="N35" s="121">
        <f>SUM(N29:N31)</f>
        <v>5.7371715999999999</v>
      </c>
      <c r="O35" s="121">
        <f>SUM(O29:O31)</f>
        <v>4.5386182702000006</v>
      </c>
      <c r="P35" s="121">
        <f>SUM(P29:P31)</f>
        <v>2.8225930916789999</v>
      </c>
      <c r="Q35" s="121">
        <f>SUM(Q29:Q31)</f>
        <v>23.561410934545016</v>
      </c>
      <c r="R35" s="121">
        <f>SUM(R29:R31)</f>
        <v>26.384004026224016</v>
      </c>
      <c r="S35" s="69"/>
      <c r="T35" s="69"/>
      <c r="U35" s="538"/>
      <c r="V35" s="539"/>
      <c r="W35" s="539"/>
      <c r="X35" s="539" t="s">
        <v>191</v>
      </c>
      <c r="Y35" s="403">
        <f>Y32+Y33</f>
        <v>88.548916937499996</v>
      </c>
      <c r="Z35" s="403">
        <f t="shared" ref="Z35:AB35" si="9">Z32+Z33</f>
        <v>79.537371550000017</v>
      </c>
      <c r="AA35" s="92">
        <f t="shared" si="9"/>
        <v>854.97788828316948</v>
      </c>
      <c r="AB35" s="151">
        <f t="shared" si="9"/>
        <v>455.81915779782827</v>
      </c>
      <c r="AC35" s="160"/>
    </row>
    <row r="36" spans="2:30" ht="15.95" customHeight="1" x14ac:dyDescent="0.2">
      <c r="B36" s="325" t="s">
        <v>216</v>
      </c>
      <c r="C36" s="326" t="s">
        <v>215</v>
      </c>
      <c r="D36" s="382"/>
      <c r="E36" s="384">
        <f>E32/E35</f>
        <v>1.5241364064632814</v>
      </c>
      <c r="F36" s="390" t="s">
        <v>115</v>
      </c>
      <c r="J36" s="68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540"/>
      <c r="V36" s="539"/>
      <c r="W36" s="539"/>
      <c r="X36" s="539" t="s">
        <v>190</v>
      </c>
      <c r="Y36" s="402">
        <f>(Y11+Y14+Y17+Y20+Y23+Y26+Y29)/7</f>
        <v>4.0693928571428568</v>
      </c>
    </row>
    <row r="37" spans="2:30" ht="15.75" x14ac:dyDescent="0.2">
      <c r="C37" s="853"/>
      <c r="D37" s="854"/>
      <c r="E37" s="854"/>
      <c r="F37" s="855"/>
      <c r="L37" s="67"/>
      <c r="M37" s="401"/>
      <c r="P37" s="401" t="s">
        <v>601</v>
      </c>
      <c r="T37" s="67"/>
    </row>
    <row r="38" spans="2:30" ht="13.5" thickBot="1" x14ac:dyDescent="0.25">
      <c r="B38" s="66"/>
      <c r="K38" s="67"/>
      <c r="L38" s="67"/>
      <c r="N38" s="67"/>
      <c r="O38" s="67"/>
      <c r="P38" s="67"/>
      <c r="T38" s="67"/>
      <c r="AB38" s="66"/>
      <c r="AC38" s="66"/>
    </row>
    <row r="39" spans="2:30" ht="38.25" x14ac:dyDescent="0.2">
      <c r="M39" s="438" t="s">
        <v>138</v>
      </c>
      <c r="N39" s="439" t="s">
        <v>87</v>
      </c>
      <c r="O39" s="466" t="s">
        <v>409</v>
      </c>
      <c r="P39" s="439" t="s">
        <v>554</v>
      </c>
      <c r="Q39" s="439" t="s">
        <v>408</v>
      </c>
      <c r="R39" s="833" t="s">
        <v>548</v>
      </c>
      <c r="S39" s="833" t="s">
        <v>583</v>
      </c>
      <c r="T39" s="848"/>
      <c r="AC39" s="66"/>
    </row>
    <row r="40" spans="2:30" x14ac:dyDescent="0.2">
      <c r="H40" s="66"/>
      <c r="J40" s="66"/>
      <c r="M40" s="441"/>
      <c r="N40" s="107"/>
      <c r="O40" s="108"/>
      <c r="P40" s="109" t="s">
        <v>410</v>
      </c>
      <c r="Q40" s="109" t="s">
        <v>410</v>
      </c>
      <c r="R40" s="834" t="s">
        <v>410</v>
      </c>
      <c r="S40" s="834" t="s">
        <v>585</v>
      </c>
      <c r="T40" s="849"/>
      <c r="AC40" s="66"/>
    </row>
    <row r="41" spans="2:30" ht="15" customHeight="1" x14ac:dyDescent="0.2">
      <c r="M41" s="880">
        <v>1</v>
      </c>
      <c r="N41" s="153" t="s">
        <v>74</v>
      </c>
      <c r="O41" s="411">
        <f>Y8/$Y$34</f>
        <v>6.9158950320820679E-3</v>
      </c>
      <c r="P41" s="112">
        <f>O41*$P$72</f>
        <v>398.99999999999994</v>
      </c>
      <c r="Q41" s="75">
        <f>1000*O41*'Parab Tilapias '!$E$68</f>
        <v>347.54402789511227</v>
      </c>
      <c r="R41" s="835">
        <f>O41*$R$72</f>
        <v>726.29750241606803</v>
      </c>
      <c r="S41" s="843">
        <f>O41*'Parab Tilapias '!$E$87</f>
        <v>0.61780645161290315</v>
      </c>
      <c r="T41" s="850"/>
    </row>
    <row r="42" spans="2:30" ht="15" customHeight="1" x14ac:dyDescent="0.2">
      <c r="G42" s="434"/>
      <c r="M42" s="881"/>
      <c r="N42" s="153" t="s">
        <v>73</v>
      </c>
      <c r="O42" s="411">
        <f>Y9/$Y$34</f>
        <v>8.0501018173435288E-2</v>
      </c>
      <c r="P42" s="75">
        <f>O42*$P$72</f>
        <v>4644.3600000000006</v>
      </c>
      <c r="Q42" s="75">
        <f>1000*O42*'Parab Tilapias '!$E$68</f>
        <v>4045.4124846991076</v>
      </c>
      <c r="R42" s="836">
        <f>O42*$R$72</f>
        <v>8454.1029281230331</v>
      </c>
      <c r="S42" s="843">
        <f>O42*'Parab Tilapias '!$E$87</f>
        <v>7.1912670967741938</v>
      </c>
      <c r="T42" s="850"/>
      <c r="AC42" s="35"/>
      <c r="AD42" s="66"/>
    </row>
    <row r="43" spans="2:30" ht="15" customHeight="1" x14ac:dyDescent="0.2">
      <c r="G43" s="434"/>
      <c r="M43" s="881"/>
      <c r="N43" s="153" t="s">
        <v>72</v>
      </c>
      <c r="O43" s="411">
        <f>Y10/$Y$34</f>
        <v>0.33870803396472887</v>
      </c>
      <c r="P43" s="75">
        <f>O43*$P$72</f>
        <v>19541.144699999997</v>
      </c>
      <c r="Q43" s="75">
        <f>1000*O43*'Parab Tilapias '!$E$68</f>
        <v>17021.073029371491</v>
      </c>
      <c r="R43" s="836">
        <f>O43*$R$72</f>
        <v>35570.63807007765</v>
      </c>
      <c r="S43" s="843">
        <f>O43*'Parab Tilapias '!$E$87</f>
        <v>30.257256309677413</v>
      </c>
      <c r="T43" s="850"/>
      <c r="AC43" s="35"/>
      <c r="AD43" s="66"/>
    </row>
    <row r="44" spans="2:30" ht="15" customHeight="1" x14ac:dyDescent="0.2">
      <c r="B44" s="288"/>
      <c r="M44" s="882"/>
      <c r="N44" s="109" t="s">
        <v>411</v>
      </c>
      <c r="O44" s="413">
        <f t="shared" ref="O44:S44" si="10">SUM(O41:O43)</f>
        <v>0.42612494717024624</v>
      </c>
      <c r="P44" s="412">
        <f t="shared" si="10"/>
        <v>24584.504699999998</v>
      </c>
      <c r="Q44" s="412">
        <f t="shared" si="10"/>
        <v>21414.029541965712</v>
      </c>
      <c r="R44" s="837">
        <f t="shared" si="10"/>
        <v>44751.038500616749</v>
      </c>
      <c r="S44" s="844">
        <f t="shared" si="10"/>
        <v>38.066329858064506</v>
      </c>
      <c r="T44" s="851"/>
    </row>
    <row r="45" spans="2:30" ht="15" customHeight="1" x14ac:dyDescent="0.2">
      <c r="M45" s="880">
        <v>2</v>
      </c>
      <c r="N45" s="153" t="s">
        <v>74</v>
      </c>
      <c r="O45" s="411">
        <f>Y11/$Y$34</f>
        <v>9.2211933761094256E-3</v>
      </c>
      <c r="P45" s="75">
        <f>O45*$P$72</f>
        <v>532</v>
      </c>
      <c r="Q45" s="75">
        <f>1000*O45*'Parab Tilapias '!$E$68</f>
        <v>463.39203719348313</v>
      </c>
      <c r="R45" s="836">
        <f>O45*$R$72</f>
        <v>968.39666988809086</v>
      </c>
      <c r="S45" s="843">
        <f>O45*'Parab Tilapias '!$E$87</f>
        <v>0.82374193548387098</v>
      </c>
      <c r="T45" s="850"/>
    </row>
    <row r="46" spans="2:30" ht="15" customHeight="1" x14ac:dyDescent="0.2">
      <c r="G46" s="158"/>
      <c r="M46" s="881"/>
      <c r="N46" s="153" t="s">
        <v>73</v>
      </c>
      <c r="O46" s="411">
        <f>Y12/$Y$34</f>
        <v>9.9135513120989727E-2</v>
      </c>
      <c r="P46" s="75">
        <f>O46*$P$72</f>
        <v>5719.4433333333327</v>
      </c>
      <c r="Q46" s="75">
        <f>1000*O46*'Parab Tilapias '!$E$68</f>
        <v>4981.8505598609372</v>
      </c>
      <c r="R46" s="836">
        <f>O46*$R$72</f>
        <v>10411.07119852188</v>
      </c>
      <c r="S46" s="843">
        <f>O46*'Parab Tilapias '!$E$87</f>
        <v>8.8559122580645155</v>
      </c>
      <c r="T46" s="850"/>
    </row>
    <row r="47" spans="2:30" ht="15" customHeight="1" x14ac:dyDescent="0.2">
      <c r="M47" s="881"/>
      <c r="N47" s="153" t="s">
        <v>72</v>
      </c>
      <c r="O47" s="411">
        <f>Y13/$Y$34</f>
        <v>0.40290759595804354</v>
      </c>
      <c r="P47" s="75">
        <f>O47*$P$72</f>
        <v>23245.021799999999</v>
      </c>
      <c r="Q47" s="75">
        <f>1000*O47*'Parab Tilapias '!$E$68</f>
        <v>20247.289485919031</v>
      </c>
      <c r="R47" s="836">
        <f>O47*$R$72</f>
        <v>42312.785155255769</v>
      </c>
      <c r="S47" s="843">
        <f>O47*'Parab Tilapias '!$E$87</f>
        <v>35.992291819354833</v>
      </c>
      <c r="T47" s="850"/>
    </row>
    <row r="48" spans="2:30" ht="15" customHeight="1" x14ac:dyDescent="0.2">
      <c r="M48" s="882"/>
      <c r="N48" s="109" t="s">
        <v>411</v>
      </c>
      <c r="O48" s="413">
        <f>SUM(O45:O47)</f>
        <v>0.51126430245514265</v>
      </c>
      <c r="P48" s="412">
        <f>SUM(P45:P47)</f>
        <v>29496.465133333331</v>
      </c>
      <c r="Q48" s="412">
        <f>SUM(Q45:Q47)</f>
        <v>25692.532082973452</v>
      </c>
      <c r="R48" s="837">
        <f t="shared" ref="R48" si="11">SUM(R45:R47)</f>
        <v>53692.25302366574</v>
      </c>
      <c r="S48" s="844">
        <f>SUM(S45:S47)</f>
        <v>45.67194601290322</v>
      </c>
      <c r="T48" s="851"/>
    </row>
    <row r="49" spans="1:20" ht="15" customHeight="1" x14ac:dyDescent="0.2">
      <c r="M49" s="880">
        <v>3</v>
      </c>
      <c r="N49" s="153" t="s">
        <v>74</v>
      </c>
      <c r="O49" s="411">
        <f>Y14/$Y$34</f>
        <v>1.3831790064164136E-2</v>
      </c>
      <c r="P49" s="75">
        <f>O49*$P$72</f>
        <v>797.99999999999989</v>
      </c>
      <c r="Q49" s="75">
        <f>1000*O49*'Parab Tilapias '!$E$68</f>
        <v>695.08805579022453</v>
      </c>
      <c r="R49" s="835">
        <f>O49*$R$72</f>
        <v>1452.5950048321361</v>
      </c>
      <c r="S49" s="843">
        <f>O49*'Parab Tilapias '!$E$87</f>
        <v>1.2356129032258063</v>
      </c>
      <c r="T49" s="850"/>
    </row>
    <row r="50" spans="1:20" ht="15" customHeight="1" x14ac:dyDescent="0.2">
      <c r="A50" s="288"/>
      <c r="M50" s="881"/>
      <c r="N50" s="153" t="s">
        <v>73</v>
      </c>
      <c r="O50" s="411">
        <f>Y15/$Y$34</f>
        <v>0.12075152726015291</v>
      </c>
      <c r="P50" s="75">
        <f>O50*$P$72</f>
        <v>6966.54</v>
      </c>
      <c r="Q50" s="75">
        <f>1000*O50*'Parab Tilapias '!$E$68</f>
        <v>6068.1187270486607</v>
      </c>
      <c r="R50" s="836">
        <f>O50*$R$72</f>
        <v>12681.154392184548</v>
      </c>
      <c r="S50" s="843">
        <f>O50*'Parab Tilapias '!$E$87</f>
        <v>10.786900645161289</v>
      </c>
      <c r="T50" s="850"/>
    </row>
    <row r="51" spans="1:20" ht="15" customHeight="1" x14ac:dyDescent="0.2">
      <c r="M51" s="881"/>
      <c r="N51" s="153" t="s">
        <v>72</v>
      </c>
      <c r="O51" s="411">
        <f>Y16/$Y$34</f>
        <v>0.46120374995197294</v>
      </c>
      <c r="P51" s="75">
        <f>O51*$P$72</f>
        <v>26608.3125</v>
      </c>
      <c r="Q51" s="75">
        <f>1000*O51*'Parab Tilapias '!$E$68</f>
        <v>23176.842360255301</v>
      </c>
      <c r="R51" s="836">
        <f>O51*$R$72</f>
        <v>48434.964692371534</v>
      </c>
      <c r="S51" s="843">
        <f>O51*'Parab Tilapias '!$E$87</f>
        <v>41.199967741935481</v>
      </c>
      <c r="T51" s="850"/>
    </row>
    <row r="52" spans="1:20" ht="15" customHeight="1" x14ac:dyDescent="0.2">
      <c r="M52" s="882"/>
      <c r="N52" s="109" t="s">
        <v>411</v>
      </c>
      <c r="O52" s="413">
        <f>SUM(O49:O51)</f>
        <v>0.59578706727628994</v>
      </c>
      <c r="P52" s="412">
        <f>SUM(P49:P51)</f>
        <v>34372.852500000001</v>
      </c>
      <c r="Q52" s="412">
        <f>SUM(Q49:Q51)</f>
        <v>29940.049143094187</v>
      </c>
      <c r="R52" s="837">
        <f t="shared" ref="R52" si="12">SUM(R49:R51)</f>
        <v>62568.714089388217</v>
      </c>
      <c r="S52" s="844">
        <f>SUM(S49:S51)</f>
        <v>53.222481290322577</v>
      </c>
      <c r="T52" s="851"/>
    </row>
    <row r="53" spans="1:20" ht="15" customHeight="1" x14ac:dyDescent="0.2">
      <c r="M53" s="880">
        <v>4</v>
      </c>
      <c r="N53" s="153" t="s">
        <v>74</v>
      </c>
      <c r="O53" s="411">
        <f>Y17/$Y$34</f>
        <v>2.0171360510239364E-2</v>
      </c>
      <c r="P53" s="75">
        <f>O53*$P$72</f>
        <v>1163.7499999999998</v>
      </c>
      <c r="Q53" s="75">
        <f>1000*O53*'Parab Tilapias '!$E$68</f>
        <v>1013.670081360744</v>
      </c>
      <c r="R53" s="836">
        <f>O53*$R$72</f>
        <v>2118.3677153801982</v>
      </c>
      <c r="S53" s="843">
        <f>O53*'Parab Tilapias '!$E$87</f>
        <v>1.8019354838709674</v>
      </c>
      <c r="T53" s="850"/>
    </row>
    <row r="54" spans="1:20" ht="15" customHeight="1" x14ac:dyDescent="0.2">
      <c r="M54" s="881"/>
      <c r="N54" s="153" t="s">
        <v>73</v>
      </c>
      <c r="O54" s="411">
        <f>Y18/$Y$34</f>
        <v>0.13938602220770738</v>
      </c>
      <c r="P54" s="75">
        <f>O54*$P$72</f>
        <v>8041.623333333333</v>
      </c>
      <c r="Q54" s="75">
        <f>1000*O54*'Parab Tilapias '!$E$68</f>
        <v>7004.5568022104917</v>
      </c>
      <c r="R54" s="836">
        <f>O54*$R$72</f>
        <v>14638.122662583397</v>
      </c>
      <c r="S54" s="843">
        <f>O54*'Parab Tilapias '!$E$87</f>
        <v>12.451545806451612</v>
      </c>
      <c r="T54" s="850"/>
    </row>
    <row r="55" spans="1:20" ht="15" customHeight="1" x14ac:dyDescent="0.2">
      <c r="M55" s="881"/>
      <c r="N55" s="153" t="s">
        <v>72</v>
      </c>
      <c r="O55" s="411">
        <f>Y19/$Y$34</f>
        <v>0.51359649594651702</v>
      </c>
      <c r="P55" s="75">
        <f>O55*$P$72</f>
        <v>29631.016799999998</v>
      </c>
      <c r="Q55" s="75">
        <f>1000*O55*'Parab Tilapias '!$E$68</f>
        <v>25809.731652380302</v>
      </c>
      <c r="R55" s="836">
        <f>O55*$R$72</f>
        <v>53937.176681424935</v>
      </c>
      <c r="S55" s="843">
        <f>O55*'Parab Tilapias '!$E$87</f>
        <v>45.880284077419347</v>
      </c>
      <c r="T55" s="850"/>
    </row>
    <row r="56" spans="1:20" ht="15" customHeight="1" x14ac:dyDescent="0.2">
      <c r="M56" s="882"/>
      <c r="N56" s="109" t="s">
        <v>411</v>
      </c>
      <c r="O56" s="413">
        <f>SUM(O53:O55)</f>
        <v>0.67315387866446375</v>
      </c>
      <c r="P56" s="412">
        <f>SUM(P53:P55)</f>
        <v>38836.390133333334</v>
      </c>
      <c r="Q56" s="412">
        <f>SUM(Q53:Q55)</f>
        <v>33827.95853595154</v>
      </c>
      <c r="R56" s="837">
        <f t="shared" ref="R56" si="13">SUM(R53:R55)</f>
        <v>70693.667059388536</v>
      </c>
      <c r="S56" s="844">
        <f>SUM(S53:S55)</f>
        <v>60.13376536774193</v>
      </c>
      <c r="T56" s="851"/>
    </row>
    <row r="57" spans="1:20" ht="15" customHeight="1" x14ac:dyDescent="0.2">
      <c r="M57" s="880">
        <v>5</v>
      </c>
      <c r="N57" s="153" t="s">
        <v>74</v>
      </c>
      <c r="O57" s="411">
        <f>Y20/$Y$34</f>
        <v>2.9507818803550159E-2</v>
      </c>
      <c r="P57" s="75">
        <f>O57*$P$72</f>
        <v>1702.4</v>
      </c>
      <c r="Q57" s="75">
        <f>1000*O57*'Parab Tilapias '!$E$68</f>
        <v>1482.8545190191458</v>
      </c>
      <c r="R57" s="836">
        <f>O57*$R$72</f>
        <v>3098.8693436418903</v>
      </c>
      <c r="S57" s="843">
        <f>O57*'Parab Tilapias '!$E$87</f>
        <v>2.6359741935483871</v>
      </c>
      <c r="T57" s="850"/>
    </row>
    <row r="58" spans="1:20" ht="15" customHeight="1" x14ac:dyDescent="0.2">
      <c r="M58" s="881"/>
      <c r="N58" s="153" t="s">
        <v>73</v>
      </c>
      <c r="O58" s="411">
        <f>Y21/$Y$34</f>
        <v>0.16696507473008798</v>
      </c>
      <c r="P58" s="75">
        <f>O58*$P$72</f>
        <v>9632.746666666666</v>
      </c>
      <c r="Q58" s="75">
        <f>1000*O58*'Parab Tilapias '!$E$68</f>
        <v>8390.4851534500012</v>
      </c>
      <c r="R58" s="836">
        <f>O58*$R$72</f>
        <v>17534.435702773695</v>
      </c>
      <c r="S58" s="843">
        <f>O58*'Parab Tilapias '!$E$87</f>
        <v>14.915220645161289</v>
      </c>
      <c r="T58" s="850"/>
    </row>
    <row r="59" spans="1:20" ht="15" customHeight="1" x14ac:dyDescent="0.2">
      <c r="M59" s="881"/>
      <c r="N59" s="153" t="s">
        <v>72</v>
      </c>
      <c r="O59" s="411">
        <f>Y22/$Y$34</f>
        <v>0.56008583394167588</v>
      </c>
      <c r="P59" s="75">
        <f>O59*$P$72</f>
        <v>32313.134699999995</v>
      </c>
      <c r="Q59" s="75">
        <f>1000*O59*'Parab Tilapias '!$E$68</f>
        <v>28145.957362294037</v>
      </c>
      <c r="R59" s="836">
        <f>O59*$R$72</f>
        <v>58819.421122415988</v>
      </c>
      <c r="S59" s="843">
        <f>O59*'Parab Tilapias '!$E$87</f>
        <v>50.033240825806445</v>
      </c>
      <c r="T59" s="850"/>
    </row>
    <row r="60" spans="1:20" ht="15" customHeight="1" x14ac:dyDescent="0.2">
      <c r="M60" s="882"/>
      <c r="N60" s="109" t="s">
        <v>411</v>
      </c>
      <c r="O60" s="413">
        <f>SUM(O57:O59)</f>
        <v>0.75655872747531405</v>
      </c>
      <c r="P60" s="412">
        <f>SUM(P57:P59)</f>
        <v>43648.281366666663</v>
      </c>
      <c r="Q60" s="412">
        <f>SUM(Q57:Q59)</f>
        <v>38019.297034763185</v>
      </c>
      <c r="R60" s="837">
        <f t="shared" ref="R60" si="14">SUM(R57:R59)</f>
        <v>79452.726168831578</v>
      </c>
      <c r="S60" s="844">
        <f>SUM(S57:S59)</f>
        <v>67.584435664516121</v>
      </c>
      <c r="T60" s="851"/>
    </row>
    <row r="61" spans="1:20" ht="15" customHeight="1" x14ac:dyDescent="0.2">
      <c r="H61" s="70"/>
      <c r="I61" s="71"/>
      <c r="J61" s="71"/>
      <c r="M61" s="880">
        <v>6</v>
      </c>
      <c r="N61" s="153" t="s">
        <v>74</v>
      </c>
      <c r="O61" s="411">
        <f>Y23/$Y$34</f>
        <v>4.2417489530103353E-2</v>
      </c>
      <c r="P61" s="75">
        <f>O61*$P$72</f>
        <v>2447.1999999999998</v>
      </c>
      <c r="Q61" s="75">
        <f>1000*O61*'Parab Tilapias '!$E$68</f>
        <v>2131.6033710900219</v>
      </c>
      <c r="R61" s="836">
        <f>O61*$R$72</f>
        <v>4454.6246814852175</v>
      </c>
      <c r="S61" s="843">
        <f>O61*'Parab Tilapias '!$E$87</f>
        <v>3.7892129032258062</v>
      </c>
      <c r="T61" s="850"/>
    </row>
    <row r="62" spans="1:20" ht="15" customHeight="1" x14ac:dyDescent="0.2">
      <c r="H62" s="163"/>
      <c r="I62" s="71"/>
      <c r="J62" s="71"/>
      <c r="M62" s="881"/>
      <c r="N62" s="153" t="s">
        <v>73</v>
      </c>
      <c r="O62" s="411">
        <f>Y24/$Y$34</f>
        <v>0.19007184846505551</v>
      </c>
      <c r="P62" s="75">
        <f>O62*$P$72</f>
        <v>10965.85</v>
      </c>
      <c r="Q62" s="75">
        <f>1000*O62*'Parab Tilapias '!$E$68</f>
        <v>9551.6683666506688</v>
      </c>
      <c r="R62" s="836">
        <f>O62*$R$72</f>
        <v>19961.076358068269</v>
      </c>
      <c r="S62" s="843">
        <f>O62*'Parab Tilapias '!$E$87</f>
        <v>16.979380645161289</v>
      </c>
      <c r="T62" s="850"/>
    </row>
    <row r="63" spans="1:20" ht="15" customHeight="1" x14ac:dyDescent="0.2">
      <c r="H63" s="163"/>
      <c r="I63" s="71"/>
      <c r="J63" s="71"/>
      <c r="M63" s="881"/>
      <c r="N63" s="153" t="s">
        <v>72</v>
      </c>
      <c r="O63" s="411">
        <f>Y25/$Y$34</f>
        <v>0.61690613593575894</v>
      </c>
      <c r="P63" s="75">
        <f>O63*$P$72</f>
        <v>35591.278799999993</v>
      </c>
      <c r="Q63" s="75">
        <f>1000*O63*'Parab Tilapias '!$E$68</f>
        <v>31001.344341077485</v>
      </c>
      <c r="R63" s="836">
        <f>O63*$R$72</f>
        <v>64786.608772516163</v>
      </c>
      <c r="S63" s="843">
        <f>O63*'Parab Tilapias '!$E$87</f>
        <v>55.109076851612897</v>
      </c>
      <c r="T63" s="850"/>
    </row>
    <row r="64" spans="1:20" ht="15" customHeight="1" x14ac:dyDescent="0.2">
      <c r="H64" s="163"/>
      <c r="I64" s="71"/>
      <c r="J64" s="71"/>
      <c r="M64" s="882"/>
      <c r="N64" s="109" t="s">
        <v>411</v>
      </c>
      <c r="O64" s="413">
        <f>SUM(O61:O63)</f>
        <v>0.84939547393091774</v>
      </c>
      <c r="P64" s="412">
        <f>SUM(P61:P63)</f>
        <v>49004.328799999988</v>
      </c>
      <c r="Q64" s="412">
        <f>SUM(Q61:Q63)</f>
        <v>42684.616078818173</v>
      </c>
      <c r="R64" s="837">
        <f t="shared" ref="R64" si="15">SUM(R61:R63)</f>
        <v>89202.309812069652</v>
      </c>
      <c r="S64" s="844">
        <f>SUM(S61:S63)</f>
        <v>75.8776704</v>
      </c>
      <c r="T64" s="851"/>
    </row>
    <row r="65" spans="8:20" ht="15" customHeight="1" x14ac:dyDescent="0.2">
      <c r="H65" s="163"/>
      <c r="I65" s="71"/>
      <c r="J65" s="71"/>
      <c r="M65" s="880">
        <v>7</v>
      </c>
      <c r="N65" s="153" t="s">
        <v>74</v>
      </c>
      <c r="O65" s="411">
        <f>Y26/$Y$34</f>
        <v>5.0716563568601832E-2</v>
      </c>
      <c r="P65" s="75">
        <f>O65*$P$72</f>
        <v>2925.9999999999995</v>
      </c>
      <c r="Q65" s="75">
        <f>1000*O65*'Parab Tilapias '!$E$68</f>
        <v>2548.6562045641567</v>
      </c>
      <c r="R65" s="836">
        <f>O65*$R$72</f>
        <v>5326.1816843844981</v>
      </c>
      <c r="S65" s="843">
        <f>O65*'Parab Tilapias '!$E$87</f>
        <v>4.5305806451612902</v>
      </c>
      <c r="T65" s="850"/>
    </row>
    <row r="66" spans="8:20" ht="15" customHeight="1" x14ac:dyDescent="0.2">
      <c r="H66" s="163"/>
      <c r="I66" s="71"/>
      <c r="J66" s="71"/>
      <c r="M66" s="881"/>
      <c r="N66" s="153" t="s">
        <v>73</v>
      </c>
      <c r="O66" s="411">
        <f>Y27/$Y$34</f>
        <v>0.21616014139163175</v>
      </c>
      <c r="P66" s="75">
        <f>O66*$P$72</f>
        <v>12470.966666666665</v>
      </c>
      <c r="Q66" s="75">
        <f>1000*O66*'Parab Tilapias '!$E$68</f>
        <v>10862.681671877232</v>
      </c>
      <c r="R66" s="836">
        <f>O66*$R$72</f>
        <v>22700.831936626659</v>
      </c>
      <c r="S66" s="843">
        <f>O66*'Parab Tilapias '!$E$87</f>
        <v>19.309883870967742</v>
      </c>
      <c r="T66" s="850"/>
    </row>
    <row r="67" spans="8:20" ht="15" customHeight="1" x14ac:dyDescent="0.2">
      <c r="H67" s="163"/>
      <c r="I67" s="71"/>
      <c r="J67" s="71"/>
      <c r="M67" s="881"/>
      <c r="N67" s="153" t="s">
        <v>72</v>
      </c>
      <c r="O67" s="411">
        <f>Y28/$Y$34</f>
        <v>0.6508507319322242</v>
      </c>
      <c r="P67" s="75">
        <f>O67*$P$72</f>
        <v>37549.650600000001</v>
      </c>
      <c r="Q67" s="75">
        <f>1000*O67*'Parab Tilapias '!$E$68</f>
        <v>32707.15993879228</v>
      </c>
      <c r="R67" s="836">
        <f>O67*$R$72</f>
        <v>68351.422173874715</v>
      </c>
      <c r="S67" s="843">
        <f>O67*'Parab Tilapias '!$E$87</f>
        <v>58.141394477419354</v>
      </c>
      <c r="T67" s="850"/>
    </row>
    <row r="68" spans="8:20" ht="15" customHeight="1" x14ac:dyDescent="0.2">
      <c r="H68" s="163"/>
      <c r="I68" s="71"/>
      <c r="J68" s="71"/>
      <c r="M68" s="882"/>
      <c r="N68" s="109" t="s">
        <v>411</v>
      </c>
      <c r="O68" s="413">
        <f>SUM(O65:O67)</f>
        <v>0.91772743689245773</v>
      </c>
      <c r="P68" s="412">
        <f>SUM(P65:P67)</f>
        <v>52946.617266666668</v>
      </c>
      <c r="Q68" s="412">
        <f>SUM(Q65:Q67)</f>
        <v>46118.49781523367</v>
      </c>
      <c r="R68" s="837">
        <f t="shared" ref="R68" si="16">SUM(R65:R67)</f>
        <v>96378.435794885867</v>
      </c>
      <c r="S68" s="844">
        <f>SUM(S65:S67)</f>
        <v>81.981858993548386</v>
      </c>
      <c r="T68" s="851"/>
    </row>
    <row r="69" spans="8:20" ht="15" customHeight="1" x14ac:dyDescent="0.2">
      <c r="H69" s="163"/>
      <c r="I69" s="71"/>
      <c r="J69" s="71"/>
      <c r="M69" s="467"/>
      <c r="N69" s="153" t="s">
        <v>74</v>
      </c>
      <c r="O69" s="411">
        <f>Y29/$Y$34</f>
        <v>6.4548353632765967E-2</v>
      </c>
      <c r="P69" s="75">
        <f>O69*$P$72</f>
        <v>3723.9999999999995</v>
      </c>
      <c r="Q69" s="75">
        <f>1000*O69*'Parab Tilapias '!$E$68</f>
        <v>3243.7442603543809</v>
      </c>
      <c r="R69" s="836">
        <f>O69*$R$72</f>
        <v>6778.7766892166346</v>
      </c>
      <c r="S69" s="843">
        <f>O69*'Parab Tilapias '!$E$87</f>
        <v>5.7661935483870961</v>
      </c>
      <c r="T69" s="850"/>
    </row>
    <row r="70" spans="8:20" ht="15" customHeight="1" x14ac:dyDescent="0.2">
      <c r="H70" s="163"/>
      <c r="I70" s="71"/>
      <c r="J70" s="71"/>
      <c r="M70" s="443">
        <v>8</v>
      </c>
      <c r="N70" s="153" t="s">
        <v>73</v>
      </c>
      <c r="O70" s="411">
        <f>Y30/$Y$34</f>
        <v>0.27131824643639296</v>
      </c>
      <c r="P70" s="75">
        <f>O70*$P$72</f>
        <v>15653.213333333333</v>
      </c>
      <c r="Q70" s="75">
        <f>1000*O70*'Parab Tilapias '!$E$68</f>
        <v>13634.538374356249</v>
      </c>
      <c r="R70" s="836">
        <f>O70*$R$72</f>
        <v>28493.458017007255</v>
      </c>
      <c r="S70" s="843">
        <f>O70*'Parab Tilapias '!$E$87</f>
        <v>24.237233548387096</v>
      </c>
      <c r="T70" s="850"/>
    </row>
    <row r="71" spans="8:20" ht="15" customHeight="1" x14ac:dyDescent="0.2">
      <c r="H71" s="163"/>
      <c r="I71" s="71"/>
      <c r="J71" s="71"/>
      <c r="M71" s="443"/>
      <c r="N71" s="153" t="s">
        <v>72</v>
      </c>
      <c r="O71" s="411">
        <f>Y31/$Y$34</f>
        <v>0.66413339993084108</v>
      </c>
      <c r="P71" s="75">
        <f>O71*$P$72</f>
        <v>38315.97</v>
      </c>
      <c r="Q71" s="75">
        <f>1000*O71*'Parab Tilapias '!$E$68</f>
        <v>33374.652998767633</v>
      </c>
      <c r="R71" s="836">
        <f>O71*$R$72</f>
        <v>69746.349157015022</v>
      </c>
      <c r="S71" s="843">
        <f>O71*'Parab Tilapias '!$E$87</f>
        <v>59.3279535483871</v>
      </c>
      <c r="T71" s="850"/>
    </row>
    <row r="72" spans="8:20" ht="15" customHeight="1" thickBot="1" x14ac:dyDescent="0.25">
      <c r="H72" s="163"/>
      <c r="I72" s="71"/>
      <c r="J72" s="71"/>
      <c r="M72" s="445"/>
      <c r="N72" s="468" t="s">
        <v>411</v>
      </c>
      <c r="O72" s="469">
        <f>SUM(O69:O71)</f>
        <v>1</v>
      </c>
      <c r="P72" s="470">
        <f>1000*'Parab Tilapias '!E104*'Parab Tilapias '!E63</f>
        <v>57693.183333333334</v>
      </c>
      <c r="Q72" s="470">
        <f>SUM(Q69:Q71)</f>
        <v>50252.935633478264</v>
      </c>
      <c r="R72" s="838">
        <f>1000*'Parab Tilapias '!E104*'Parab Tilapias '!E74</f>
        <v>105018.58386323891</v>
      </c>
      <c r="S72" s="845">
        <f>SUM(S69:S71)</f>
        <v>89.331380645161289</v>
      </c>
      <c r="T72" s="851"/>
    </row>
    <row r="73" spans="8:20" x14ac:dyDescent="0.2">
      <c r="O73" s="114" t="s">
        <v>586</v>
      </c>
      <c r="P73" s="80">
        <f>P75-P74</f>
        <v>3135.2533333333358</v>
      </c>
      <c r="Q73" s="80">
        <f>Q75-Q74</f>
        <v>2730.9237391935931</v>
      </c>
      <c r="R73" s="80">
        <f>R75-R74</f>
        <v>5707.08437454048</v>
      </c>
      <c r="S73" s="531">
        <f>S75-S74</f>
        <v>4.854585806451615</v>
      </c>
      <c r="T73" s="852"/>
    </row>
    <row r="74" spans="8:20" x14ac:dyDescent="0.2">
      <c r="O74" s="114" t="s">
        <v>587</v>
      </c>
      <c r="P74" s="89">
        <f>(P43+P47+P51+P55+P59+P63+P67+P71)/($M$70*'Parab Tilapias '!$E$104)</f>
        <v>8671.2689249999985</v>
      </c>
      <c r="Q74" s="89">
        <f>(Q43+Q47+Q51+Q55+Q59+Q63+Q67+Q71)/($M$70*'Parab Tilapias '!$E$104)</f>
        <v>7553.0018274591985</v>
      </c>
      <c r="R74" s="89">
        <f>(R43+R47+R51+R55+R59+R63+R67+R71)/($M$70*'Parab Tilapias '!$E$104)</f>
        <v>15784.263065176847</v>
      </c>
      <c r="S74" s="846">
        <f>(S43+S47+S51+S55+S59+S63+S67+S71)/($M$70*'Parab Tilapias '!$E$104)</f>
        <v>13.426480916129028</v>
      </c>
      <c r="T74" s="852"/>
    </row>
    <row r="75" spans="8:20" x14ac:dyDescent="0.2">
      <c r="O75" s="818" t="s">
        <v>588</v>
      </c>
      <c r="P75" s="92">
        <f>(P44+P48+P52+P56+P60+P64+P68+P72)/($M$70*'Parab Tilapias '!$E$104)</f>
        <v>11806.522258333334</v>
      </c>
      <c r="Q75" s="92">
        <f>(Q44+Q48+Q52+Q56+Q60+Q64+Q68+Q72)/($M$70*'Parab Tilapias '!$E$104)</f>
        <v>10283.925566652792</v>
      </c>
      <c r="R75" s="92">
        <f>(R44+R48+R52+R56+R60+R64+R68+R72)/($M$70*'Parab Tilapias '!$E$104)</f>
        <v>21491.347439717327</v>
      </c>
      <c r="S75" s="847">
        <f>(S44+S48+S52+S56+S60+S64+S68+S72)/($M$70*'Parab Tilapias '!$E$104)</f>
        <v>18.281066722580643</v>
      </c>
      <c r="T75" s="851"/>
    </row>
    <row r="88" spans="9:9" x14ac:dyDescent="0.2">
      <c r="I88" s="66"/>
    </row>
  </sheetData>
  <mergeCells count="52">
    <mergeCell ref="U2:W3"/>
    <mergeCell ref="B8:F8"/>
    <mergeCell ref="D28:E28"/>
    <mergeCell ref="D21:E21"/>
    <mergeCell ref="D22:E22"/>
    <mergeCell ref="D23:E23"/>
    <mergeCell ref="D24:E24"/>
    <mergeCell ref="D25:E25"/>
    <mergeCell ref="D20:E20"/>
    <mergeCell ref="R8:R9"/>
    <mergeCell ref="S8:S9"/>
    <mergeCell ref="R11:R12"/>
    <mergeCell ref="S11:S12"/>
    <mergeCell ref="U8:U10"/>
    <mergeCell ref="U11:U13"/>
    <mergeCell ref="H23:H25"/>
    <mergeCell ref="H26:H28"/>
    <mergeCell ref="H29:H31"/>
    <mergeCell ref="D26:E26"/>
    <mergeCell ref="D27:E27"/>
    <mergeCell ref="D30:E30"/>
    <mergeCell ref="D29:E29"/>
    <mergeCell ref="H8:H10"/>
    <mergeCell ref="H11:H13"/>
    <mergeCell ref="H14:H16"/>
    <mergeCell ref="H17:H19"/>
    <mergeCell ref="H20:H22"/>
    <mergeCell ref="U14:U16"/>
    <mergeCell ref="S20:S21"/>
    <mergeCell ref="R20:R21"/>
    <mergeCell ref="S23:S24"/>
    <mergeCell ref="R26:R27"/>
    <mergeCell ref="S26:S27"/>
    <mergeCell ref="R23:R24"/>
    <mergeCell ref="U29:U31"/>
    <mergeCell ref="U26:U28"/>
    <mergeCell ref="U23:U25"/>
    <mergeCell ref="U20:U22"/>
    <mergeCell ref="U17:U19"/>
    <mergeCell ref="M61:M64"/>
    <mergeCell ref="M65:M68"/>
    <mergeCell ref="S17:S18"/>
    <mergeCell ref="R17:R18"/>
    <mergeCell ref="S14:S15"/>
    <mergeCell ref="R14:R15"/>
    <mergeCell ref="R29:R30"/>
    <mergeCell ref="S29:S30"/>
    <mergeCell ref="M57:M60"/>
    <mergeCell ref="M53:M56"/>
    <mergeCell ref="M49:M52"/>
    <mergeCell ref="M45:M48"/>
    <mergeCell ref="M41:M44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F4FA7-0FC6-4AB9-A315-5CD8DBFE8515}">
  <dimension ref="B3:I48"/>
  <sheetViews>
    <sheetView showGridLines="0" zoomScale="75" zoomScaleNormal="75" workbookViewId="0">
      <selection activeCell="D4" sqref="D4:D5"/>
    </sheetView>
  </sheetViews>
  <sheetFormatPr baseColWidth="10" defaultRowHeight="12.75" x14ac:dyDescent="0.2"/>
  <cols>
    <col min="2" max="2" width="13.28515625" customWidth="1"/>
    <col min="3" max="3" width="13.42578125" customWidth="1"/>
    <col min="4" max="4" width="12.85546875" customWidth="1"/>
    <col min="5" max="5" width="13.85546875" style="34" customWidth="1"/>
    <col min="7" max="8" width="13" customWidth="1"/>
    <col min="9" max="9" width="13.28515625" customWidth="1"/>
  </cols>
  <sheetData>
    <row r="3" spans="2:9" ht="46.5" x14ac:dyDescent="0.2">
      <c r="B3" s="171" t="s">
        <v>253</v>
      </c>
      <c r="C3" s="171" t="s">
        <v>252</v>
      </c>
      <c r="D3" s="171" t="s">
        <v>251</v>
      </c>
      <c r="E3" s="171" t="s">
        <v>250</v>
      </c>
      <c r="F3" s="171" t="s">
        <v>255</v>
      </c>
      <c r="G3" s="913" t="s">
        <v>254</v>
      </c>
      <c r="H3" s="914"/>
      <c r="I3" s="915"/>
    </row>
    <row r="4" spans="2:9" ht="12.75" customHeight="1" x14ac:dyDescent="0.2">
      <c r="B4" s="916" t="s">
        <v>244</v>
      </c>
      <c r="C4" s="916" t="s">
        <v>28</v>
      </c>
      <c r="D4" s="916" t="s">
        <v>520</v>
      </c>
      <c r="E4" s="916" t="s">
        <v>245</v>
      </c>
      <c r="F4" s="916" t="s">
        <v>38</v>
      </c>
      <c r="G4" s="913" t="s">
        <v>246</v>
      </c>
      <c r="H4" s="918"/>
      <c r="I4" s="915"/>
    </row>
    <row r="5" spans="2:9" ht="14.25" x14ac:dyDescent="0.2">
      <c r="B5" s="917"/>
      <c r="C5" s="917"/>
      <c r="D5" s="917"/>
      <c r="E5" s="917"/>
      <c r="F5" s="917"/>
      <c r="G5" s="320">
        <v>0</v>
      </c>
      <c r="H5" s="320">
        <v>5</v>
      </c>
      <c r="I5" s="320">
        <v>10</v>
      </c>
    </row>
    <row r="6" spans="2:9" x14ac:dyDescent="0.2">
      <c r="B6" s="172">
        <v>0</v>
      </c>
      <c r="C6" s="173">
        <v>999.82</v>
      </c>
      <c r="D6" s="174">
        <v>1.792E-3</v>
      </c>
      <c r="E6" s="175">
        <f>D6/C6</f>
        <v>1.7923226180712527E-6</v>
      </c>
      <c r="F6" s="173">
        <v>0.61099999999999999</v>
      </c>
      <c r="G6" s="173">
        <v>14.6</v>
      </c>
      <c r="H6" s="173">
        <v>14.11</v>
      </c>
      <c r="I6" s="173">
        <v>13.64</v>
      </c>
    </row>
    <row r="7" spans="2:9" x14ac:dyDescent="0.2">
      <c r="B7" s="172">
        <f>B6+1</f>
        <v>1</v>
      </c>
      <c r="C7" s="173">
        <v>999.89</v>
      </c>
      <c r="D7" s="174">
        <v>1.7309999999999999E-3</v>
      </c>
      <c r="E7" s="175">
        <f t="shared" ref="E7:E46" si="0">D7/C7</f>
        <v>1.7311904309474041E-6</v>
      </c>
      <c r="F7" s="173">
        <v>0.65700000000000003</v>
      </c>
      <c r="G7" s="173">
        <v>14.2</v>
      </c>
      <c r="H7" s="173">
        <v>13.73</v>
      </c>
      <c r="I7" s="173">
        <v>13.27</v>
      </c>
    </row>
    <row r="8" spans="2:9" x14ac:dyDescent="0.2">
      <c r="B8" s="172">
        <f t="shared" ref="B8:B46" si="1">B7+1</f>
        <v>2</v>
      </c>
      <c r="C8" s="173">
        <v>999.94</v>
      </c>
      <c r="D8" s="174">
        <v>1.6739999999999999E-3</v>
      </c>
      <c r="E8" s="175">
        <f t="shared" si="0"/>
        <v>1.6741004460267615E-6</v>
      </c>
      <c r="F8" s="173">
        <v>0.70499999999999996</v>
      </c>
      <c r="G8" s="173">
        <v>13.81</v>
      </c>
      <c r="H8" s="173">
        <v>13.36</v>
      </c>
      <c r="I8" s="173">
        <v>12.91</v>
      </c>
    </row>
    <row r="9" spans="2:9" x14ac:dyDescent="0.2">
      <c r="B9" s="172">
        <f t="shared" si="1"/>
        <v>3</v>
      </c>
      <c r="C9" s="173">
        <v>999.98</v>
      </c>
      <c r="D9" s="174">
        <v>1.6199999999999999E-3</v>
      </c>
      <c r="E9" s="175">
        <f t="shared" si="0"/>
        <v>1.6200324006480128E-6</v>
      </c>
      <c r="F9" s="173">
        <v>0.75700000000000001</v>
      </c>
      <c r="G9" s="173">
        <v>13.45</v>
      </c>
      <c r="H9" s="173">
        <v>13</v>
      </c>
      <c r="I9" s="173">
        <v>12.58</v>
      </c>
    </row>
    <row r="10" spans="2:9" x14ac:dyDescent="0.2">
      <c r="B10" s="172">
        <f t="shared" si="1"/>
        <v>4</v>
      </c>
      <c r="C10" s="173">
        <v>1000</v>
      </c>
      <c r="D10" s="174">
        <v>1.5690000000000001E-3</v>
      </c>
      <c r="E10" s="175">
        <f t="shared" si="0"/>
        <v>1.5690000000000001E-6</v>
      </c>
      <c r="F10" s="173">
        <v>0.81299999999999994</v>
      </c>
      <c r="G10" s="173">
        <v>13.09</v>
      </c>
      <c r="H10" s="173">
        <v>12.67</v>
      </c>
      <c r="I10" s="173">
        <v>12.25</v>
      </c>
    </row>
    <row r="11" spans="2:9" x14ac:dyDescent="0.2">
      <c r="B11" s="172">
        <f t="shared" si="1"/>
        <v>5</v>
      </c>
      <c r="C11" s="173">
        <v>1000</v>
      </c>
      <c r="D11" s="174">
        <v>1.5200000000000001E-3</v>
      </c>
      <c r="E11" s="175">
        <f t="shared" si="0"/>
        <v>1.5200000000000001E-6</v>
      </c>
      <c r="F11" s="173">
        <v>0.872</v>
      </c>
      <c r="G11" s="173">
        <v>12.76</v>
      </c>
      <c r="H11" s="173">
        <v>12.34</v>
      </c>
      <c r="I11" s="173">
        <v>11.94</v>
      </c>
    </row>
    <row r="12" spans="2:9" x14ac:dyDescent="0.2">
      <c r="B12" s="172">
        <f t="shared" si="1"/>
        <v>6</v>
      </c>
      <c r="C12" s="173">
        <v>999.99</v>
      </c>
      <c r="D12" s="174">
        <v>1.4729999999999999E-3</v>
      </c>
      <c r="E12" s="175">
        <f t="shared" si="0"/>
        <v>1.4730147301473013E-6</v>
      </c>
      <c r="F12" s="173">
        <v>0.93500000000000005</v>
      </c>
      <c r="G12" s="173">
        <v>12.44</v>
      </c>
      <c r="H12" s="173">
        <v>12.04</v>
      </c>
      <c r="I12" s="173">
        <v>11.65</v>
      </c>
    </row>
    <row r="13" spans="2:9" x14ac:dyDescent="0.2">
      <c r="B13" s="172">
        <f t="shared" si="1"/>
        <v>7</v>
      </c>
      <c r="C13" s="173">
        <v>999.96</v>
      </c>
      <c r="D13" s="174">
        <v>1.4289999999999999E-3</v>
      </c>
      <c r="E13" s="175">
        <f t="shared" si="0"/>
        <v>1.4290571622864914E-6</v>
      </c>
      <c r="F13" s="173">
        <v>1.0009999999999999</v>
      </c>
      <c r="G13" s="173">
        <v>12.13</v>
      </c>
      <c r="H13" s="173">
        <v>11.74</v>
      </c>
      <c r="I13" s="173">
        <v>11.37</v>
      </c>
    </row>
    <row r="14" spans="2:9" x14ac:dyDescent="0.2">
      <c r="B14" s="172">
        <f t="shared" si="1"/>
        <v>8</v>
      </c>
      <c r="C14" s="173">
        <v>999.91</v>
      </c>
      <c r="D14" s="174">
        <v>1.3860000000000001E-3</v>
      </c>
      <c r="E14" s="175">
        <f t="shared" si="0"/>
        <v>1.3861247512276105E-6</v>
      </c>
      <c r="F14" s="173">
        <v>1.0720000000000001</v>
      </c>
      <c r="G14" s="173">
        <v>11.83</v>
      </c>
      <c r="H14" s="173">
        <v>11.46</v>
      </c>
      <c r="I14" s="173">
        <v>11.09</v>
      </c>
    </row>
    <row r="15" spans="2:9" x14ac:dyDescent="0.2">
      <c r="B15" s="172">
        <f t="shared" si="1"/>
        <v>9</v>
      </c>
      <c r="C15" s="173">
        <v>999.85</v>
      </c>
      <c r="D15" s="174">
        <v>1.346E-3</v>
      </c>
      <c r="E15" s="175">
        <f t="shared" si="0"/>
        <v>1.3462019302895433E-6</v>
      </c>
      <c r="F15" s="173">
        <v>1.147</v>
      </c>
      <c r="G15" s="173">
        <v>11.55</v>
      </c>
      <c r="H15" s="173">
        <v>11.19</v>
      </c>
      <c r="I15" s="173">
        <v>10.83</v>
      </c>
    </row>
    <row r="16" spans="2:9" x14ac:dyDescent="0.2">
      <c r="B16" s="172">
        <f t="shared" si="1"/>
        <v>10</v>
      </c>
      <c r="C16" s="173">
        <v>999.77</v>
      </c>
      <c r="D16" s="174">
        <v>1.3079999999999999E-3</v>
      </c>
      <c r="E16" s="175">
        <f t="shared" si="0"/>
        <v>1.3083009092091181E-6</v>
      </c>
      <c r="F16" s="173">
        <v>1.2270000000000001</v>
      </c>
      <c r="G16" s="173">
        <v>11.28</v>
      </c>
      <c r="H16" s="173">
        <v>10.92</v>
      </c>
      <c r="I16" s="173">
        <v>10.58</v>
      </c>
    </row>
    <row r="17" spans="2:9" x14ac:dyDescent="0.2">
      <c r="B17" s="172">
        <f t="shared" si="1"/>
        <v>11</v>
      </c>
      <c r="C17" s="173">
        <v>999.68</v>
      </c>
      <c r="D17" s="174">
        <v>1.271E-3</v>
      </c>
      <c r="E17" s="175">
        <f t="shared" si="0"/>
        <v>1.2714068501920614E-6</v>
      </c>
      <c r="F17" s="173">
        <v>1.3120000000000001</v>
      </c>
      <c r="G17" s="173">
        <v>11.02</v>
      </c>
      <c r="H17" s="173">
        <v>10.67</v>
      </c>
      <c r="I17" s="173">
        <v>10.34</v>
      </c>
    </row>
    <row r="18" spans="2:9" x14ac:dyDescent="0.2">
      <c r="B18" s="172">
        <f t="shared" si="1"/>
        <v>12</v>
      </c>
      <c r="C18" s="173">
        <v>999.58</v>
      </c>
      <c r="D18" s="174">
        <v>1.2359999999999999E-3</v>
      </c>
      <c r="E18" s="175">
        <f t="shared" si="0"/>
        <v>1.2365193381220111E-6</v>
      </c>
      <c r="F18" s="173">
        <v>1.4019999999999999</v>
      </c>
      <c r="G18" s="173">
        <v>10.77</v>
      </c>
      <c r="H18" s="173">
        <v>10.43</v>
      </c>
      <c r="I18" s="173">
        <v>10.11</v>
      </c>
    </row>
    <row r="19" spans="2:9" x14ac:dyDescent="0.2">
      <c r="B19" s="172">
        <f t="shared" si="1"/>
        <v>13</v>
      </c>
      <c r="C19" s="173">
        <v>999.46</v>
      </c>
      <c r="D19" s="174">
        <v>1.2019999999999999E-3</v>
      </c>
      <c r="E19" s="175">
        <f t="shared" si="0"/>
        <v>1.2026494306925738E-6</v>
      </c>
      <c r="F19" s="173">
        <v>1.4970000000000001</v>
      </c>
      <c r="G19" s="173">
        <v>10.53</v>
      </c>
      <c r="H19" s="173">
        <v>10.199999999999999</v>
      </c>
      <c r="I19" s="173">
        <v>9.89</v>
      </c>
    </row>
    <row r="20" spans="2:9" x14ac:dyDescent="0.2">
      <c r="B20" s="172">
        <f t="shared" si="1"/>
        <v>14</v>
      </c>
      <c r="C20" s="173">
        <v>999.33</v>
      </c>
      <c r="D20" s="174">
        <v>1.17E-3</v>
      </c>
      <c r="E20" s="175">
        <f t="shared" si="0"/>
        <v>1.1707844255651285E-6</v>
      </c>
      <c r="F20" s="173">
        <v>1.597</v>
      </c>
      <c r="G20" s="173">
        <v>10.29</v>
      </c>
      <c r="H20" s="173">
        <v>9.98</v>
      </c>
      <c r="I20" s="173">
        <v>9.68</v>
      </c>
    </row>
    <row r="21" spans="2:9" x14ac:dyDescent="0.2">
      <c r="B21" s="172">
        <f t="shared" si="1"/>
        <v>15</v>
      </c>
      <c r="C21" s="173">
        <v>999.19</v>
      </c>
      <c r="D21" s="174">
        <v>1.139E-3</v>
      </c>
      <c r="E21" s="175">
        <f t="shared" si="0"/>
        <v>1.1399233379037019E-6</v>
      </c>
      <c r="F21" s="173">
        <v>1.704</v>
      </c>
      <c r="G21" s="173">
        <v>10.07</v>
      </c>
      <c r="H21" s="173">
        <v>9.77</v>
      </c>
      <c r="I21" s="173">
        <v>9.4700000000000006</v>
      </c>
    </row>
    <row r="22" spans="2:9" x14ac:dyDescent="0.2">
      <c r="B22" s="172">
        <f t="shared" si="1"/>
        <v>16</v>
      </c>
      <c r="C22" s="173">
        <v>999.03</v>
      </c>
      <c r="D22" s="174">
        <v>1.109E-3</v>
      </c>
      <c r="E22" s="175">
        <f t="shared" si="0"/>
        <v>1.110076774471237E-6</v>
      </c>
      <c r="F22" s="173">
        <v>1.8169999999999999</v>
      </c>
      <c r="G22" s="173">
        <v>9.86</v>
      </c>
      <c r="H22" s="173">
        <v>9.56</v>
      </c>
      <c r="I22" s="173">
        <v>9.2799999999999994</v>
      </c>
    </row>
    <row r="23" spans="2:9" x14ac:dyDescent="0.2">
      <c r="B23" s="172">
        <f t="shared" si="1"/>
        <v>17</v>
      </c>
      <c r="C23" s="173">
        <v>998.86</v>
      </c>
      <c r="D23" s="174">
        <v>1.0809999999999999E-3</v>
      </c>
      <c r="E23" s="175">
        <f t="shared" si="0"/>
        <v>1.0822337464709768E-6</v>
      </c>
      <c r="F23" s="173">
        <v>1.9359999999999999</v>
      </c>
      <c r="G23" s="173">
        <v>9.65</v>
      </c>
      <c r="H23" s="173">
        <v>9.36</v>
      </c>
      <c r="I23" s="173">
        <v>9.09</v>
      </c>
    </row>
    <row r="24" spans="2:9" x14ac:dyDescent="0.2">
      <c r="B24" s="172">
        <f t="shared" si="1"/>
        <v>18</v>
      </c>
      <c r="C24" s="173">
        <v>998.68</v>
      </c>
      <c r="D24" s="174">
        <v>1.054E-3</v>
      </c>
      <c r="E24" s="175">
        <f t="shared" si="0"/>
        <v>1.0553931189169705E-6</v>
      </c>
      <c r="F24" s="173">
        <v>2.0630000000000002</v>
      </c>
      <c r="G24" s="173">
        <v>9.4499999999999993</v>
      </c>
      <c r="H24" s="173">
        <v>9.17</v>
      </c>
      <c r="I24" s="173">
        <v>8.9</v>
      </c>
    </row>
    <row r="25" spans="2:9" x14ac:dyDescent="0.2">
      <c r="B25" s="172">
        <f t="shared" si="1"/>
        <v>19</v>
      </c>
      <c r="C25" s="173">
        <v>998.49</v>
      </c>
      <c r="D25" s="174">
        <v>1.0280000000000001E-3</v>
      </c>
      <c r="E25" s="175">
        <f t="shared" si="0"/>
        <v>1.0295546274875061E-6</v>
      </c>
      <c r="F25" s="173">
        <v>2.1960000000000002</v>
      </c>
      <c r="G25" s="173">
        <v>9.26</v>
      </c>
      <c r="H25" s="173">
        <v>8.99</v>
      </c>
      <c r="I25" s="173">
        <v>8.73</v>
      </c>
    </row>
    <row r="26" spans="2:9" x14ac:dyDescent="0.2">
      <c r="B26" s="172">
        <f t="shared" si="1"/>
        <v>20</v>
      </c>
      <c r="C26" s="173">
        <v>998.29</v>
      </c>
      <c r="D26" s="174">
        <v>1.003E-3</v>
      </c>
      <c r="E26" s="175">
        <f t="shared" si="0"/>
        <v>1.0047180678961023E-6</v>
      </c>
      <c r="F26" s="173">
        <v>2.3370000000000002</v>
      </c>
      <c r="G26" s="173">
        <v>9.08</v>
      </c>
      <c r="H26" s="173">
        <v>8.81</v>
      </c>
      <c r="I26" s="173">
        <v>8.56</v>
      </c>
    </row>
    <row r="27" spans="2:9" x14ac:dyDescent="0.2">
      <c r="B27" s="172">
        <f t="shared" si="1"/>
        <v>21</v>
      </c>
      <c r="C27" s="173">
        <v>998.08</v>
      </c>
      <c r="D27" s="174">
        <v>9.7900000000000005E-4</v>
      </c>
      <c r="E27" s="175">
        <f t="shared" si="0"/>
        <v>9.8088329592818217E-7</v>
      </c>
      <c r="F27" s="173">
        <v>2.4860000000000002</v>
      </c>
      <c r="G27" s="173">
        <v>8.9</v>
      </c>
      <c r="H27" s="173">
        <v>8.64</v>
      </c>
      <c r="I27" s="173">
        <v>8.39</v>
      </c>
    </row>
    <row r="28" spans="2:9" x14ac:dyDescent="0.2">
      <c r="B28" s="172">
        <f t="shared" si="1"/>
        <v>22</v>
      </c>
      <c r="C28" s="173">
        <v>997.86</v>
      </c>
      <c r="D28" s="174">
        <v>9.5500000000000001E-4</v>
      </c>
      <c r="E28" s="175">
        <f t="shared" si="0"/>
        <v>9.5704808289740053E-7</v>
      </c>
      <c r="F28" s="173">
        <v>2.6419999999999999</v>
      </c>
      <c r="G28" s="173">
        <v>8.73</v>
      </c>
      <c r="H28" s="173">
        <v>8.48</v>
      </c>
      <c r="I28" s="173">
        <v>8.23</v>
      </c>
    </row>
    <row r="29" spans="2:9" x14ac:dyDescent="0.2">
      <c r="B29" s="172">
        <f t="shared" si="1"/>
        <v>23</v>
      </c>
      <c r="C29" s="173">
        <v>997.62</v>
      </c>
      <c r="D29" s="174">
        <v>9.3300000000000002E-4</v>
      </c>
      <c r="E29" s="175">
        <f t="shared" si="0"/>
        <v>9.3522583749323393E-7</v>
      </c>
      <c r="F29" s="173">
        <v>2.8079999999999998</v>
      </c>
      <c r="G29" s="173">
        <v>8.56</v>
      </c>
      <c r="H29" s="173">
        <v>8.32</v>
      </c>
      <c r="I29" s="173">
        <v>8.08</v>
      </c>
    </row>
    <row r="30" spans="2:9" x14ac:dyDescent="0.2">
      <c r="B30" s="172">
        <f t="shared" si="1"/>
        <v>24</v>
      </c>
      <c r="C30" s="173">
        <v>997.38</v>
      </c>
      <c r="D30" s="174">
        <v>9.1100000000000003E-4</v>
      </c>
      <c r="E30" s="175">
        <f t="shared" si="0"/>
        <v>9.1339308989552636E-7</v>
      </c>
      <c r="F30" s="173">
        <v>2.9820000000000002</v>
      </c>
      <c r="G30" s="173">
        <v>8.4</v>
      </c>
      <c r="H30" s="173">
        <v>8.16</v>
      </c>
      <c r="I30" s="173">
        <v>7.93</v>
      </c>
    </row>
    <row r="31" spans="2:9" x14ac:dyDescent="0.2">
      <c r="B31" s="172">
        <f t="shared" si="1"/>
        <v>25</v>
      </c>
      <c r="C31" s="173">
        <v>997.13</v>
      </c>
      <c r="D31" s="174">
        <v>8.9099999999999997E-4</v>
      </c>
      <c r="E31" s="175">
        <f t="shared" si="0"/>
        <v>8.9356453020167885E-7</v>
      </c>
      <c r="F31" s="173">
        <v>3.1659999999999999</v>
      </c>
      <c r="G31" s="173">
        <v>8.24</v>
      </c>
      <c r="H31" s="173">
        <v>8.01</v>
      </c>
      <c r="I31" s="173">
        <v>7.79</v>
      </c>
    </row>
    <row r="32" spans="2:9" x14ac:dyDescent="0.2">
      <c r="B32" s="172">
        <f t="shared" si="1"/>
        <v>26</v>
      </c>
      <c r="C32" s="173">
        <v>996.86</v>
      </c>
      <c r="D32" s="174">
        <v>8.7100000000000003E-4</v>
      </c>
      <c r="E32" s="175">
        <f t="shared" si="0"/>
        <v>8.7374355476195253E-7</v>
      </c>
      <c r="F32" s="173">
        <v>3.36</v>
      </c>
      <c r="G32" s="173">
        <v>8.09</v>
      </c>
      <c r="H32" s="173">
        <v>7.87</v>
      </c>
      <c r="I32" s="173">
        <v>7.65</v>
      </c>
    </row>
    <row r="33" spans="2:9" x14ac:dyDescent="0.2">
      <c r="B33" s="172">
        <f t="shared" si="1"/>
        <v>27</v>
      </c>
      <c r="C33" s="173">
        <v>996.59</v>
      </c>
      <c r="D33" s="174">
        <v>8.52E-4</v>
      </c>
      <c r="E33" s="175">
        <f t="shared" si="0"/>
        <v>8.5491526104014687E-7</v>
      </c>
      <c r="F33" s="173">
        <v>3.5640000000000001</v>
      </c>
      <c r="G33" s="173">
        <v>7.95</v>
      </c>
      <c r="H33" s="173">
        <v>7.73</v>
      </c>
      <c r="I33" s="173">
        <v>7.51</v>
      </c>
    </row>
    <row r="34" spans="2:9" x14ac:dyDescent="0.2">
      <c r="B34" s="172">
        <f t="shared" si="1"/>
        <v>28</v>
      </c>
      <c r="C34" s="173">
        <v>996.31</v>
      </c>
      <c r="D34" s="174">
        <v>8.3299999999999997E-4</v>
      </c>
      <c r="E34" s="175">
        <f t="shared" si="0"/>
        <v>8.3608515421906841E-7</v>
      </c>
      <c r="F34" s="173">
        <v>3.7789999999999999</v>
      </c>
      <c r="G34" s="173">
        <v>7.81</v>
      </c>
      <c r="H34" s="173">
        <v>7.59</v>
      </c>
      <c r="I34" s="173">
        <v>7.38</v>
      </c>
    </row>
    <row r="35" spans="2:9" x14ac:dyDescent="0.2">
      <c r="B35" s="172">
        <f t="shared" si="1"/>
        <v>29</v>
      </c>
      <c r="C35" s="173">
        <v>996.02</v>
      </c>
      <c r="D35" s="174">
        <v>8.1499999999999997E-4</v>
      </c>
      <c r="E35" s="175">
        <f t="shared" si="0"/>
        <v>8.1825666151282104E-7</v>
      </c>
      <c r="F35" s="173">
        <v>4.0039999999999996</v>
      </c>
      <c r="G35" s="173">
        <v>7.67</v>
      </c>
      <c r="H35" s="173">
        <v>7.46</v>
      </c>
      <c r="I35" s="173">
        <v>7.26</v>
      </c>
    </row>
    <row r="36" spans="2:9" x14ac:dyDescent="0.2">
      <c r="B36" s="172">
        <f t="shared" si="1"/>
        <v>30</v>
      </c>
      <c r="C36" s="173">
        <v>995.71</v>
      </c>
      <c r="D36" s="174">
        <v>7.9799999999999999E-4</v>
      </c>
      <c r="E36" s="175">
        <f t="shared" si="0"/>
        <v>8.0143816974821981E-7</v>
      </c>
      <c r="F36" s="173">
        <v>4.242</v>
      </c>
      <c r="G36" s="173">
        <v>7.54</v>
      </c>
      <c r="H36" s="173">
        <v>7.33</v>
      </c>
      <c r="I36" s="173">
        <v>7.14</v>
      </c>
    </row>
    <row r="37" spans="2:9" x14ac:dyDescent="0.2">
      <c r="B37" s="172">
        <f t="shared" si="1"/>
        <v>31</v>
      </c>
      <c r="C37" s="173">
        <v>995.41</v>
      </c>
      <c r="D37" s="174">
        <v>7.8100000000000001E-4</v>
      </c>
      <c r="E37" s="175">
        <f t="shared" si="0"/>
        <v>7.8460132005907112E-7</v>
      </c>
      <c r="F37" s="173">
        <v>4.4909999999999997</v>
      </c>
      <c r="G37" s="173">
        <v>7.41</v>
      </c>
      <c r="H37" s="173">
        <v>7.21</v>
      </c>
      <c r="I37" s="173">
        <v>7.02</v>
      </c>
    </row>
    <row r="38" spans="2:9" x14ac:dyDescent="0.2">
      <c r="B38" s="172">
        <f t="shared" si="1"/>
        <v>32</v>
      </c>
      <c r="C38" s="173">
        <v>995.09</v>
      </c>
      <c r="D38" s="174">
        <v>7.6499999999999995E-4</v>
      </c>
      <c r="E38" s="175">
        <f t="shared" si="0"/>
        <v>7.6877468369695196E-7</v>
      </c>
      <c r="F38" s="173">
        <v>4.7539999999999996</v>
      </c>
      <c r="G38" s="173">
        <v>7.29</v>
      </c>
      <c r="H38" s="173">
        <v>7.09</v>
      </c>
      <c r="I38" s="173">
        <v>6.9</v>
      </c>
    </row>
    <row r="39" spans="2:9" x14ac:dyDescent="0.2">
      <c r="B39" s="172">
        <f t="shared" si="1"/>
        <v>33</v>
      </c>
      <c r="C39" s="173">
        <v>994.76</v>
      </c>
      <c r="D39" s="174">
        <v>7.4899999999999999E-4</v>
      </c>
      <c r="E39" s="175">
        <f t="shared" si="0"/>
        <v>7.5294543407455063E-7</v>
      </c>
      <c r="F39" s="173">
        <v>5.0289999999999999</v>
      </c>
      <c r="G39" s="173">
        <v>7.17</v>
      </c>
      <c r="H39" s="173">
        <v>6.98</v>
      </c>
      <c r="I39" s="173">
        <v>6.79</v>
      </c>
    </row>
    <row r="40" spans="2:9" x14ac:dyDescent="0.2">
      <c r="B40" s="172">
        <f t="shared" si="1"/>
        <v>34</v>
      </c>
      <c r="C40" s="173">
        <v>994.43</v>
      </c>
      <c r="D40" s="174">
        <v>7.3399999999999995E-4</v>
      </c>
      <c r="E40" s="175">
        <f t="shared" si="0"/>
        <v>7.3811127982864557E-7</v>
      </c>
      <c r="F40" s="173">
        <v>5.3179999999999996</v>
      </c>
      <c r="G40" s="173">
        <v>7.05</v>
      </c>
      <c r="H40" s="173">
        <v>6.86</v>
      </c>
      <c r="I40" s="173">
        <v>6.68</v>
      </c>
    </row>
    <row r="41" spans="2:9" x14ac:dyDescent="0.2">
      <c r="B41" s="172">
        <f t="shared" si="1"/>
        <v>35</v>
      </c>
      <c r="C41" s="173">
        <v>994.08</v>
      </c>
      <c r="D41" s="174">
        <v>7.2000000000000005E-4</v>
      </c>
      <c r="E41" s="175">
        <f t="shared" si="0"/>
        <v>7.2428778367938198E-7</v>
      </c>
      <c r="F41" s="173">
        <v>5.6219999999999999</v>
      </c>
      <c r="G41" s="173">
        <v>6.93</v>
      </c>
      <c r="H41" s="173">
        <v>6.75</v>
      </c>
      <c r="I41" s="173">
        <v>6.58</v>
      </c>
    </row>
    <row r="42" spans="2:9" x14ac:dyDescent="0.2">
      <c r="B42" s="172">
        <f t="shared" si="1"/>
        <v>36</v>
      </c>
      <c r="C42" s="173">
        <v>993.73</v>
      </c>
      <c r="D42" s="174">
        <v>7.0500000000000001E-4</v>
      </c>
      <c r="E42" s="175">
        <f t="shared" si="0"/>
        <v>7.0944824046773266E-7</v>
      </c>
      <c r="F42" s="173">
        <v>5.94</v>
      </c>
      <c r="G42" s="173">
        <v>6.82</v>
      </c>
      <c r="H42" s="173">
        <v>6.65</v>
      </c>
      <c r="I42" s="173">
        <v>6.47</v>
      </c>
    </row>
    <row r="43" spans="2:9" x14ac:dyDescent="0.2">
      <c r="B43" s="172">
        <f t="shared" si="1"/>
        <v>37</v>
      </c>
      <c r="C43" s="173">
        <v>993.37</v>
      </c>
      <c r="D43" s="174">
        <v>6.9200000000000002E-4</v>
      </c>
      <c r="E43" s="175">
        <f t="shared" si="0"/>
        <v>6.9661858119331165E-7</v>
      </c>
      <c r="F43" s="173">
        <v>6.274</v>
      </c>
      <c r="G43" s="173">
        <v>6.72</v>
      </c>
      <c r="H43" s="173">
        <v>6.54</v>
      </c>
      <c r="I43" s="173">
        <v>6.37</v>
      </c>
    </row>
    <row r="44" spans="2:9" x14ac:dyDescent="0.2">
      <c r="B44" s="172">
        <f t="shared" si="1"/>
        <v>38</v>
      </c>
      <c r="C44" s="173">
        <v>993</v>
      </c>
      <c r="D44" s="174">
        <v>6.78E-4</v>
      </c>
      <c r="E44" s="175">
        <f t="shared" si="0"/>
        <v>6.8277945619335344E-7</v>
      </c>
      <c r="F44" s="173">
        <v>6.6239999999999997</v>
      </c>
      <c r="G44" s="173">
        <v>6.61</v>
      </c>
      <c r="H44" s="173">
        <v>6.44</v>
      </c>
      <c r="I44" s="173">
        <v>6.28</v>
      </c>
    </row>
    <row r="45" spans="2:9" x14ac:dyDescent="0.2">
      <c r="B45" s="172">
        <f t="shared" si="1"/>
        <v>39</v>
      </c>
      <c r="C45" s="173">
        <v>992.63</v>
      </c>
      <c r="D45" s="174">
        <v>6.6600000000000003E-4</v>
      </c>
      <c r="E45" s="175">
        <f t="shared" si="0"/>
        <v>6.709448636450642E-7</v>
      </c>
      <c r="F45" s="173">
        <v>6.9909999999999997</v>
      </c>
      <c r="G45" s="173">
        <v>6.51</v>
      </c>
      <c r="H45" s="173">
        <v>6.34</v>
      </c>
      <c r="I45" s="173">
        <v>6.18</v>
      </c>
    </row>
    <row r="46" spans="2:9" x14ac:dyDescent="0.2">
      <c r="B46" s="172">
        <f t="shared" si="1"/>
        <v>40</v>
      </c>
      <c r="C46" s="173">
        <v>992.25</v>
      </c>
      <c r="D46" s="174">
        <v>6.5300000000000004E-4</v>
      </c>
      <c r="E46" s="175">
        <f t="shared" si="0"/>
        <v>6.5810027714789624E-7</v>
      </c>
      <c r="F46" s="173">
        <v>7.375</v>
      </c>
      <c r="G46" s="173">
        <v>6.41</v>
      </c>
      <c r="H46" s="173">
        <v>6.25</v>
      </c>
      <c r="I46" s="173">
        <v>6.09</v>
      </c>
    </row>
    <row r="47" spans="2:9" x14ac:dyDescent="0.2">
      <c r="B47" s="904" t="s">
        <v>247</v>
      </c>
      <c r="C47" s="905"/>
      <c r="D47" s="905"/>
      <c r="E47" s="905"/>
      <c r="F47" s="906"/>
      <c r="G47" s="907" t="s">
        <v>248</v>
      </c>
      <c r="H47" s="908"/>
      <c r="I47" s="909"/>
    </row>
    <row r="48" spans="2:9" x14ac:dyDescent="0.2">
      <c r="B48" s="176" t="s">
        <v>249</v>
      </c>
      <c r="C48" s="46"/>
      <c r="D48" s="46"/>
      <c r="E48" s="177"/>
      <c r="F48" s="178"/>
      <c r="G48" s="910"/>
      <c r="H48" s="911"/>
      <c r="I48" s="912"/>
    </row>
  </sheetData>
  <mergeCells count="9">
    <mergeCell ref="B47:F47"/>
    <mergeCell ref="G47:I48"/>
    <mergeCell ref="G3:I3"/>
    <mergeCell ref="B4:B5"/>
    <mergeCell ref="C4:C5"/>
    <mergeCell ref="D4:D5"/>
    <mergeCell ref="E4:E5"/>
    <mergeCell ref="F4:F5"/>
    <mergeCell ref="G4:I4"/>
  </mergeCells>
  <hyperlinks>
    <hyperlink ref="B48" r:id="rId1" xr:uid="{41CBB91A-BBFA-48C6-9AC2-C07AFEFECA77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6D8D9-80C7-49B8-82C9-60246ACA8B03}">
  <dimension ref="A1:M56"/>
  <sheetViews>
    <sheetView showGridLines="0" zoomScale="75" zoomScaleNormal="75" workbookViewId="0">
      <selection activeCell="I40" sqref="I40"/>
    </sheetView>
  </sheetViews>
  <sheetFormatPr baseColWidth="10" defaultRowHeight="12.75" x14ac:dyDescent="0.2"/>
  <cols>
    <col min="1" max="1" width="28.5703125" customWidth="1"/>
    <col min="2" max="2" width="38" customWidth="1"/>
    <col min="3" max="3" width="10.42578125" customWidth="1"/>
    <col min="4" max="4" width="15" customWidth="1"/>
    <col min="5" max="5" width="12.42578125" customWidth="1"/>
    <col min="6" max="6" width="9.85546875" customWidth="1"/>
    <col min="7" max="7" width="13.85546875" customWidth="1"/>
    <col min="8" max="8" width="13.5703125" customWidth="1"/>
    <col min="9" max="9" width="24.28515625" customWidth="1"/>
    <col min="10" max="10" width="14.85546875" customWidth="1"/>
    <col min="11" max="11" width="7.28515625" customWidth="1"/>
    <col min="12" max="12" width="15" customWidth="1"/>
  </cols>
  <sheetData>
    <row r="1" spans="1:8" ht="30.75" customHeight="1" x14ac:dyDescent="0.2">
      <c r="A1" s="677" t="s">
        <v>121</v>
      </c>
      <c r="G1" s="392" t="s">
        <v>264</v>
      </c>
      <c r="H1" s="393" t="s">
        <v>265</v>
      </c>
    </row>
    <row r="2" spans="1:8" ht="15.75" x14ac:dyDescent="0.25">
      <c r="A2" s="678"/>
      <c r="B2" s="679"/>
      <c r="C2" s="680" t="s">
        <v>308</v>
      </c>
      <c r="D2" s="30"/>
      <c r="E2" s="30"/>
      <c r="F2" s="30"/>
      <c r="G2" s="681"/>
      <c r="H2" s="607"/>
    </row>
    <row r="3" spans="1:8" ht="15" x14ac:dyDescent="0.25">
      <c r="A3" s="678"/>
      <c r="B3" s="682" t="s">
        <v>266</v>
      </c>
      <c r="C3" s="683"/>
      <c r="D3" s="684"/>
      <c r="E3" s="685">
        <f>E4+E14+E25+E35+E45</f>
        <v>1.0880796525060432</v>
      </c>
      <c r="F3" s="686" t="s">
        <v>2</v>
      </c>
      <c r="G3" s="698">
        <f>G4+G14+G25+G35+G45</f>
        <v>1.0880796525060432</v>
      </c>
      <c r="H3" s="607">
        <f t="shared" ref="H3:H11" si="0">G3-E3</f>
        <v>0</v>
      </c>
    </row>
    <row r="4" spans="1:8" ht="15.75" x14ac:dyDescent="0.25">
      <c r="A4" s="189"/>
      <c r="B4" s="688" t="s">
        <v>267</v>
      </c>
      <c r="C4" s="803" t="s">
        <v>268</v>
      </c>
      <c r="D4" s="690"/>
      <c r="E4" s="691">
        <f>E11+E13</f>
        <v>4.3818793589382191E-2</v>
      </c>
      <c r="F4" s="692" t="s">
        <v>2</v>
      </c>
      <c r="G4" s="698">
        <f>G11+G13</f>
        <v>4.3818793589382191E-2</v>
      </c>
      <c r="H4" s="607">
        <f t="shared" si="0"/>
        <v>0</v>
      </c>
    </row>
    <row r="5" spans="1:8" ht="18.75" x14ac:dyDescent="0.35">
      <c r="A5" s="189"/>
      <c r="B5" s="53" t="s">
        <v>269</v>
      </c>
      <c r="C5" s="11" t="s">
        <v>270</v>
      </c>
      <c r="D5" s="11" t="s">
        <v>271</v>
      </c>
      <c r="E5" s="51">
        <v>150</v>
      </c>
      <c r="F5" s="696"/>
      <c r="G5" s="618">
        <v>150</v>
      </c>
      <c r="H5" s="607">
        <f t="shared" si="0"/>
        <v>0</v>
      </c>
    </row>
    <row r="6" spans="1:8" ht="14.25" x14ac:dyDescent="0.2">
      <c r="A6" s="504" t="s">
        <v>358</v>
      </c>
      <c r="B6" s="63" t="s">
        <v>278</v>
      </c>
      <c r="C6" s="20"/>
      <c r="E6" s="65">
        <f>'Parrilla de Aireación'!E9</f>
        <v>12.258039999999999</v>
      </c>
      <c r="F6" s="7" t="s">
        <v>14</v>
      </c>
      <c r="G6" s="619">
        <f>'Parrilla de Aireación'!G9</f>
        <v>12.258039999999999</v>
      </c>
      <c r="H6" s="607">
        <f t="shared" si="0"/>
        <v>0</v>
      </c>
    </row>
    <row r="7" spans="1:8" ht="14.25" x14ac:dyDescent="0.2">
      <c r="A7" s="189"/>
      <c r="B7" s="728" t="s">
        <v>27</v>
      </c>
      <c r="C7" s="717"/>
      <c r="D7" s="717"/>
      <c r="E7" s="719">
        <v>10.199999999999999</v>
      </c>
      <c r="F7" s="424" t="s">
        <v>6</v>
      </c>
      <c r="G7" s="653">
        <v>10.199999999999999</v>
      </c>
      <c r="H7" s="607">
        <f t="shared" si="0"/>
        <v>0</v>
      </c>
    </row>
    <row r="8" spans="1:8" ht="14.25" x14ac:dyDescent="0.2">
      <c r="A8" s="189"/>
      <c r="B8" s="735" t="s">
        <v>71</v>
      </c>
      <c r="C8" s="717"/>
      <c r="D8" s="717"/>
      <c r="E8" s="719">
        <v>6</v>
      </c>
      <c r="F8" s="720" t="s">
        <v>25</v>
      </c>
      <c r="G8" s="653">
        <v>6</v>
      </c>
      <c r="H8" s="607">
        <f t="shared" si="0"/>
        <v>0</v>
      </c>
    </row>
    <row r="9" spans="1:8" ht="14.25" x14ac:dyDescent="0.2">
      <c r="A9" s="189"/>
      <c r="B9" s="337" t="s">
        <v>272</v>
      </c>
      <c r="C9" s="221"/>
      <c r="D9" s="221"/>
      <c r="E9" s="338">
        <f>0.001*E6/(0.25*3.14*(0.0254*E8)^2)</f>
        <v>0.67232837933474887</v>
      </c>
      <c r="F9" s="11" t="s">
        <v>4</v>
      </c>
      <c r="G9" s="699">
        <f>0.001*G6/(0.25*3.14*(0.0254*G8)^2)</f>
        <v>0.67232837933474887</v>
      </c>
      <c r="H9" s="607">
        <f t="shared" si="0"/>
        <v>0</v>
      </c>
    </row>
    <row r="10" spans="1:8" ht="14.25" x14ac:dyDescent="0.2">
      <c r="A10" s="504" t="s">
        <v>447</v>
      </c>
      <c r="B10" s="339" t="s">
        <v>29</v>
      </c>
      <c r="C10" s="340"/>
      <c r="D10" s="340"/>
      <c r="E10" s="272">
        <f>(10.672*E7*(0.001*E6/E5)^1.852)/(0.0254*E8)^4.871</f>
        <v>2.7935790017446609E-2</v>
      </c>
      <c r="F10" s="510" t="s">
        <v>2</v>
      </c>
      <c r="G10" s="700">
        <f>(10.672*G7*(0.001*G6/G5)^1.852)/(0.0254*G8)^4.871</f>
        <v>2.7935790017446609E-2</v>
      </c>
      <c r="H10" s="607">
        <f t="shared" si="0"/>
        <v>0</v>
      </c>
    </row>
    <row r="11" spans="1:8" ht="14.25" x14ac:dyDescent="0.2">
      <c r="A11" s="189"/>
      <c r="B11" s="337" t="s">
        <v>26</v>
      </c>
      <c r="C11" s="221"/>
      <c r="D11" s="221"/>
      <c r="E11" s="338">
        <f>E9^2/19.6</f>
        <v>2.30625229417801E-2</v>
      </c>
      <c r="F11" s="11" t="s">
        <v>2</v>
      </c>
      <c r="G11" s="699">
        <f>G9^2/19.6</f>
        <v>2.30625229417801E-2</v>
      </c>
      <c r="H11" s="607">
        <f t="shared" si="0"/>
        <v>0</v>
      </c>
    </row>
    <row r="12" spans="1:8" ht="15" x14ac:dyDescent="0.2">
      <c r="A12" s="189"/>
      <c r="B12" s="183" t="s">
        <v>30</v>
      </c>
      <c r="C12" s="693" t="s">
        <v>273</v>
      </c>
      <c r="D12" s="181" t="s">
        <v>274</v>
      </c>
      <c r="E12" s="694" t="s">
        <v>502</v>
      </c>
      <c r="F12" s="30"/>
      <c r="G12" s="694" t="s">
        <v>502</v>
      </c>
      <c r="H12" s="607"/>
    </row>
    <row r="13" spans="1:8" ht="14.25" x14ac:dyDescent="0.2">
      <c r="A13" s="504" t="s">
        <v>446</v>
      </c>
      <c r="B13" s="53" t="s">
        <v>277</v>
      </c>
      <c r="C13" s="502">
        <v>0.9</v>
      </c>
      <c r="D13" s="503">
        <v>1</v>
      </c>
      <c r="E13" s="55">
        <f>C13*D13*E11</f>
        <v>2.075627064760209E-2</v>
      </c>
      <c r="F13" s="692" t="s">
        <v>2</v>
      </c>
      <c r="G13" s="653">
        <f>C13*D13*G11</f>
        <v>2.075627064760209E-2</v>
      </c>
      <c r="H13" s="607">
        <f t="shared" ref="H13:H21" si="1">G13-E13</f>
        <v>0</v>
      </c>
    </row>
    <row r="14" spans="1:8" ht="26.25" customHeight="1" x14ac:dyDescent="0.25">
      <c r="A14" s="189"/>
      <c r="B14" s="688" t="s">
        <v>281</v>
      </c>
      <c r="C14" s="803" t="s">
        <v>268</v>
      </c>
      <c r="D14" s="690"/>
      <c r="E14" s="691">
        <f>E20+E23+E24</f>
        <v>0.2569849170458865</v>
      </c>
      <c r="F14" s="692" t="s">
        <v>2</v>
      </c>
      <c r="G14" s="698">
        <f>G20+G23+G24</f>
        <v>0.2569849170458865</v>
      </c>
      <c r="H14" s="607">
        <f t="shared" si="1"/>
        <v>0</v>
      </c>
    </row>
    <row r="15" spans="1:8" ht="18.75" x14ac:dyDescent="0.35">
      <c r="A15" s="189"/>
      <c r="B15" s="53" t="s">
        <v>269</v>
      </c>
      <c r="C15" s="11" t="s">
        <v>270</v>
      </c>
      <c r="D15" s="11" t="s">
        <v>271</v>
      </c>
      <c r="E15" s="51">
        <v>150</v>
      </c>
      <c r="F15" s="696"/>
      <c r="G15" s="618">
        <v>150</v>
      </c>
      <c r="H15" s="607">
        <f t="shared" si="1"/>
        <v>0</v>
      </c>
    </row>
    <row r="16" spans="1:8" ht="14.25" x14ac:dyDescent="0.2">
      <c r="A16" s="504" t="s">
        <v>358</v>
      </c>
      <c r="B16" s="63" t="s">
        <v>278</v>
      </c>
      <c r="C16" s="20"/>
      <c r="E16" s="65">
        <f>'Parrilla de Aireación'!F37</f>
        <v>24.516079999999999</v>
      </c>
      <c r="F16" s="7" t="s">
        <v>14</v>
      </c>
      <c r="G16" s="619">
        <f>'Parrilla de Aireación'!G37</f>
        <v>24.516079999999999</v>
      </c>
      <c r="H16" s="607">
        <f t="shared" si="1"/>
        <v>0</v>
      </c>
    </row>
    <row r="17" spans="1:13" ht="14.25" x14ac:dyDescent="0.2">
      <c r="A17" s="189"/>
      <c r="B17" s="728" t="s">
        <v>27</v>
      </c>
      <c r="C17" s="717"/>
      <c r="D17" s="717"/>
      <c r="E17" s="719">
        <v>0.8</v>
      </c>
      <c r="F17" s="424" t="s">
        <v>6</v>
      </c>
      <c r="G17" s="653">
        <v>0.8</v>
      </c>
      <c r="H17" s="607">
        <f t="shared" si="1"/>
        <v>0</v>
      </c>
    </row>
    <row r="18" spans="1:13" ht="14.25" x14ac:dyDescent="0.2">
      <c r="A18" s="189"/>
      <c r="B18" s="735" t="s">
        <v>71</v>
      </c>
      <c r="C18" s="717"/>
      <c r="D18" s="717"/>
      <c r="E18" s="719">
        <v>6</v>
      </c>
      <c r="F18" s="720" t="s">
        <v>25</v>
      </c>
      <c r="G18" s="653">
        <v>6</v>
      </c>
      <c r="H18" s="607">
        <f t="shared" si="1"/>
        <v>0</v>
      </c>
    </row>
    <row r="19" spans="1:13" ht="14.25" x14ac:dyDescent="0.2">
      <c r="A19" s="189"/>
      <c r="B19" s="337" t="s">
        <v>272</v>
      </c>
      <c r="C19" s="221"/>
      <c r="D19" s="221"/>
      <c r="E19" s="338">
        <f>0.001*E16/(0.25*3.14*(0.0254*E18)^2)</f>
        <v>1.3446567586694977</v>
      </c>
      <c r="F19" s="11" t="s">
        <v>4</v>
      </c>
      <c r="G19" s="699">
        <f>0.001*G16/(0.25*3.14*(0.0254*G18)^2)</f>
        <v>1.3446567586694977</v>
      </c>
      <c r="H19" s="607">
        <f t="shared" si="1"/>
        <v>0</v>
      </c>
    </row>
    <row r="20" spans="1:13" ht="14.25" x14ac:dyDescent="0.2">
      <c r="A20" s="504" t="s">
        <v>447</v>
      </c>
      <c r="B20" s="339" t="s">
        <v>29</v>
      </c>
      <c r="C20" s="340"/>
      <c r="D20" s="340"/>
      <c r="E20" s="272">
        <f>(10.672*E17*(0.001*E16/E15)^1.852)/(0.0254*E18)^4.871</f>
        <v>7.9096692746614093E-3</v>
      </c>
      <c r="F20" s="510" t="s">
        <v>2</v>
      </c>
      <c r="G20" s="700">
        <f>(10.672*G17*(0.001*G16/G15)^1.852)/(0.0254*G18)^4.871</f>
        <v>7.9096692746614093E-3</v>
      </c>
      <c r="H20" s="607">
        <f t="shared" si="1"/>
        <v>0</v>
      </c>
      <c r="J20" s="64"/>
      <c r="K20" s="64"/>
      <c r="L20" s="203"/>
    </row>
    <row r="21" spans="1:13" ht="14.25" x14ac:dyDescent="0.2">
      <c r="A21" s="189"/>
      <c r="B21" s="337" t="s">
        <v>26</v>
      </c>
      <c r="C21" s="221"/>
      <c r="D21" s="221"/>
      <c r="E21" s="338">
        <f>E19^2/19.6</f>
        <v>9.2250091767120401E-2</v>
      </c>
      <c r="F21" s="11" t="s">
        <v>2</v>
      </c>
      <c r="G21" s="699">
        <f>G19^2/19.6</f>
        <v>9.2250091767120401E-2</v>
      </c>
      <c r="H21" s="607">
        <f t="shared" si="1"/>
        <v>0</v>
      </c>
      <c r="J21" s="64"/>
      <c r="K21" s="64"/>
      <c r="L21" s="198"/>
      <c r="M21" s="199"/>
    </row>
    <row r="22" spans="1:13" ht="15" x14ac:dyDescent="0.2">
      <c r="A22" s="189"/>
      <c r="B22" s="183" t="s">
        <v>30</v>
      </c>
      <c r="C22" s="693" t="s">
        <v>273</v>
      </c>
      <c r="D22" s="181" t="s">
        <v>274</v>
      </c>
      <c r="E22" s="694" t="s">
        <v>502</v>
      </c>
      <c r="F22" s="30"/>
      <c r="G22" s="694" t="s">
        <v>502</v>
      </c>
      <c r="H22" s="607"/>
      <c r="J22" s="64"/>
      <c r="K22" s="64"/>
      <c r="L22" s="200"/>
      <c r="M22" s="201"/>
    </row>
    <row r="23" spans="1:13" ht="14.25" x14ac:dyDescent="0.2">
      <c r="A23" s="504" t="s">
        <v>446</v>
      </c>
      <c r="B23" s="53" t="s">
        <v>277</v>
      </c>
      <c r="C23" s="502">
        <v>0.9</v>
      </c>
      <c r="D23" s="503">
        <v>1</v>
      </c>
      <c r="E23" s="55">
        <f>C23*D23*E21</f>
        <v>8.3025082590408361E-2</v>
      </c>
      <c r="F23" s="692" t="s">
        <v>2</v>
      </c>
      <c r="G23" s="653">
        <f>C23*D23*$G$21</f>
        <v>8.3025082590408361E-2</v>
      </c>
      <c r="H23" s="607">
        <f t="shared" ref="H23:H32" si="2">G23-E23</f>
        <v>0</v>
      </c>
      <c r="J23" s="64"/>
      <c r="K23" s="64"/>
      <c r="L23" s="200"/>
      <c r="M23" s="201"/>
    </row>
    <row r="24" spans="1:13" ht="14.25" x14ac:dyDescent="0.2">
      <c r="A24" s="504" t="s">
        <v>446</v>
      </c>
      <c r="B24" s="53" t="s">
        <v>279</v>
      </c>
      <c r="C24" s="502">
        <v>1.8</v>
      </c>
      <c r="D24" s="503">
        <v>1</v>
      </c>
      <c r="E24" s="55">
        <f>C24*D24*E21</f>
        <v>0.16605016518081672</v>
      </c>
      <c r="F24" s="692" t="s">
        <v>2</v>
      </c>
      <c r="G24" s="653">
        <f>C24*D24*$G$21</f>
        <v>0.16605016518081672</v>
      </c>
      <c r="H24" s="607">
        <f t="shared" si="2"/>
        <v>0</v>
      </c>
      <c r="J24" s="64"/>
      <c r="K24" s="64"/>
      <c r="L24" s="200"/>
      <c r="M24" s="201"/>
    </row>
    <row r="25" spans="1:13" ht="27" customHeight="1" x14ac:dyDescent="0.25">
      <c r="A25" s="189"/>
      <c r="B25" s="688" t="s">
        <v>280</v>
      </c>
      <c r="C25" s="803" t="s">
        <v>268</v>
      </c>
      <c r="D25" s="690"/>
      <c r="E25" s="691">
        <f>E31+E34</f>
        <v>9.9755510703731606E-2</v>
      </c>
      <c r="F25" s="692" t="s">
        <v>2</v>
      </c>
      <c r="G25" s="698">
        <f>G31+G34</f>
        <v>9.9755510703731606E-2</v>
      </c>
      <c r="H25" s="607">
        <f t="shared" si="2"/>
        <v>0</v>
      </c>
      <c r="J25" s="64"/>
      <c r="K25" s="64"/>
      <c r="L25" s="200"/>
      <c r="M25" s="201"/>
    </row>
    <row r="26" spans="1:13" ht="18.75" x14ac:dyDescent="0.35">
      <c r="A26" s="189"/>
      <c r="B26" s="53" t="s">
        <v>269</v>
      </c>
      <c r="C26" s="11" t="s">
        <v>270</v>
      </c>
      <c r="D26" s="11" t="s">
        <v>271</v>
      </c>
      <c r="E26" s="51">
        <v>150</v>
      </c>
      <c r="F26" s="696"/>
      <c r="G26" s="618">
        <v>150</v>
      </c>
      <c r="H26" s="607">
        <f t="shared" si="2"/>
        <v>0</v>
      </c>
      <c r="J26" s="64"/>
      <c r="K26" s="64"/>
      <c r="L26" s="200"/>
      <c r="M26" s="201"/>
    </row>
    <row r="27" spans="1:13" ht="14.25" x14ac:dyDescent="0.2">
      <c r="A27" s="504" t="s">
        <v>358</v>
      </c>
      <c r="B27" s="728" t="s">
        <v>99</v>
      </c>
      <c r="C27" s="717"/>
      <c r="D27" s="717"/>
      <c r="E27" s="719">
        <f>'Parrilla de Aireación'!F37</f>
        <v>24.516079999999999</v>
      </c>
      <c r="F27" s="424" t="s">
        <v>14</v>
      </c>
      <c r="G27" s="619">
        <f>'Parrilla de Aireación'!G37</f>
        <v>24.516079999999999</v>
      </c>
      <c r="H27" s="607">
        <f t="shared" si="2"/>
        <v>0</v>
      </c>
      <c r="J27" s="64"/>
      <c r="K27" s="64"/>
      <c r="L27" s="200"/>
      <c r="M27" s="201"/>
    </row>
    <row r="28" spans="1:13" ht="14.25" x14ac:dyDescent="0.2">
      <c r="A28" s="189"/>
      <c r="B28" s="735" t="s">
        <v>27</v>
      </c>
      <c r="C28" s="717"/>
      <c r="D28" s="717"/>
      <c r="E28" s="719">
        <v>0.5</v>
      </c>
      <c r="F28" s="720" t="s">
        <v>6</v>
      </c>
      <c r="G28" s="653">
        <v>0.5</v>
      </c>
      <c r="H28" s="607">
        <f t="shared" si="2"/>
        <v>0</v>
      </c>
      <c r="J28" s="64"/>
      <c r="L28" s="200"/>
      <c r="M28" s="201"/>
    </row>
    <row r="29" spans="1:13" ht="14.25" x14ac:dyDescent="0.2">
      <c r="A29" s="189"/>
      <c r="B29" s="501" t="s">
        <v>71</v>
      </c>
      <c r="C29" s="20"/>
      <c r="D29" s="20"/>
      <c r="E29" s="55">
        <v>4</v>
      </c>
      <c r="F29" s="22" t="s">
        <v>25</v>
      </c>
      <c r="G29" s="653">
        <v>4</v>
      </c>
      <c r="H29" s="607">
        <f t="shared" si="2"/>
        <v>0</v>
      </c>
      <c r="J29" s="64"/>
      <c r="K29" s="64"/>
      <c r="L29" s="200"/>
      <c r="M29" s="201"/>
    </row>
    <row r="30" spans="1:13" ht="14.25" x14ac:dyDescent="0.2">
      <c r="A30" s="189"/>
      <c r="B30" s="337" t="s">
        <v>272</v>
      </c>
      <c r="C30" s="221"/>
      <c r="D30" s="221"/>
      <c r="E30" s="338">
        <f>0.001*E27/(0.25*3.14*(0.0254*E29)^2)</f>
        <v>3.0254777070063694</v>
      </c>
      <c r="F30" s="11" t="s">
        <v>4</v>
      </c>
      <c r="G30" s="699">
        <f>0.001*G27/(0.25*3.14*(0.0254*G29)^2)</f>
        <v>3.0254777070063694</v>
      </c>
      <c r="H30" s="607">
        <f t="shared" si="2"/>
        <v>0</v>
      </c>
      <c r="J30" s="64"/>
      <c r="K30" s="64"/>
      <c r="L30" s="200"/>
      <c r="M30" s="201"/>
    </row>
    <row r="31" spans="1:13" ht="14.25" x14ac:dyDescent="0.2">
      <c r="A31" s="504" t="s">
        <v>447</v>
      </c>
      <c r="B31" s="339" t="s">
        <v>29</v>
      </c>
      <c r="C31" s="340"/>
      <c r="D31" s="340"/>
      <c r="E31" s="272">
        <f>(10.672*E28*(0.001*E27/E26)^1.852)/(0.0254*E29)^4.871</f>
        <v>3.5626968108475571E-2</v>
      </c>
      <c r="F31" s="510" t="s">
        <v>2</v>
      </c>
      <c r="G31" s="700">
        <f>(10.672*G28*(0.001*G27/G26)^1.852)/(0.0254*G29)^4.871</f>
        <v>3.5626968108475571E-2</v>
      </c>
      <c r="H31" s="607">
        <f t="shared" si="2"/>
        <v>0</v>
      </c>
      <c r="J31" s="64"/>
      <c r="K31" s="64"/>
      <c r="L31" s="200"/>
      <c r="M31" s="201"/>
    </row>
    <row r="32" spans="1:13" ht="14.25" x14ac:dyDescent="0.2">
      <c r="A32" s="189"/>
      <c r="B32" s="337" t="s">
        <v>26</v>
      </c>
      <c r="C32" s="221"/>
      <c r="D32" s="221"/>
      <c r="E32" s="338">
        <f>E30^2/19.6</f>
        <v>0.4670160895710469</v>
      </c>
      <c r="F32" s="11" t="s">
        <v>2</v>
      </c>
      <c r="G32" s="699">
        <f>G30^2/19.6</f>
        <v>0.4670160895710469</v>
      </c>
      <c r="H32" s="607">
        <f t="shared" si="2"/>
        <v>0</v>
      </c>
      <c r="J32" s="64"/>
      <c r="K32" s="64"/>
      <c r="L32" s="200"/>
      <c r="M32" s="201"/>
    </row>
    <row r="33" spans="1:13" ht="15" x14ac:dyDescent="0.2">
      <c r="A33" s="189"/>
      <c r="B33" s="183" t="s">
        <v>30</v>
      </c>
      <c r="C33" s="693" t="s">
        <v>273</v>
      </c>
      <c r="D33" s="181" t="s">
        <v>274</v>
      </c>
      <c r="E33" s="694" t="s">
        <v>502</v>
      </c>
      <c r="F33" s="30"/>
      <c r="G33" s="694" t="s">
        <v>502</v>
      </c>
      <c r="H33" s="607"/>
      <c r="J33" s="64"/>
      <c r="K33" s="64"/>
      <c r="L33" s="200"/>
      <c r="M33" s="201"/>
    </row>
    <row r="34" spans="1:13" ht="14.25" x14ac:dyDescent="0.2">
      <c r="A34" s="504" t="s">
        <v>446</v>
      </c>
      <c r="B34" s="53" t="s">
        <v>279</v>
      </c>
      <c r="C34" s="502">
        <v>1.8</v>
      </c>
      <c r="D34" s="503">
        <v>1</v>
      </c>
      <c r="E34" s="55">
        <f>C34*D34*E31</f>
        <v>6.4128542595256036E-2</v>
      </c>
      <c r="F34" s="692"/>
      <c r="G34" s="653">
        <f>C34*D34*G31</f>
        <v>6.4128542595256036E-2</v>
      </c>
      <c r="H34" s="607">
        <f t="shared" ref="H34:H42" si="3">G34-E34</f>
        <v>0</v>
      </c>
      <c r="J34" s="64"/>
      <c r="K34" s="64"/>
      <c r="L34" s="200"/>
      <c r="M34" s="201"/>
    </row>
    <row r="35" spans="1:13" ht="29.25" customHeight="1" x14ac:dyDescent="0.25">
      <c r="A35" s="189"/>
      <c r="B35" s="688" t="s">
        <v>282</v>
      </c>
      <c r="C35" s="803" t="s">
        <v>268</v>
      </c>
      <c r="D35" s="690"/>
      <c r="E35" s="691">
        <f>E41+E44</f>
        <v>0.3301110886672971</v>
      </c>
      <c r="F35" s="692" t="s">
        <v>2</v>
      </c>
      <c r="G35" s="698">
        <f>G41+G44</f>
        <v>0.3301110886672971</v>
      </c>
      <c r="H35" s="607">
        <f t="shared" si="3"/>
        <v>0</v>
      </c>
      <c r="J35" s="64"/>
      <c r="K35" s="64"/>
      <c r="L35" s="200"/>
      <c r="M35" s="201"/>
    </row>
    <row r="36" spans="1:13" ht="18.75" x14ac:dyDescent="0.35">
      <c r="A36" s="189"/>
      <c r="B36" s="53" t="s">
        <v>269</v>
      </c>
      <c r="C36" s="11" t="s">
        <v>275</v>
      </c>
      <c r="D36" s="11" t="s">
        <v>271</v>
      </c>
      <c r="E36" s="51">
        <v>135</v>
      </c>
      <c r="F36" s="696"/>
      <c r="G36" s="618">
        <v>135</v>
      </c>
      <c r="H36" s="607">
        <f t="shared" si="3"/>
        <v>0</v>
      </c>
      <c r="J36" s="64"/>
      <c r="K36" s="64"/>
      <c r="L36" s="200"/>
      <c r="M36" s="201"/>
    </row>
    <row r="37" spans="1:13" ht="14.25" x14ac:dyDescent="0.2">
      <c r="A37" s="504" t="s">
        <v>358</v>
      </c>
      <c r="B37" s="728" t="s">
        <v>99</v>
      </c>
      <c r="C37" s="717"/>
      <c r="D37" s="717"/>
      <c r="E37" s="719">
        <f>E27/2</f>
        <v>12.258039999999999</v>
      </c>
      <c r="F37" s="424" t="s">
        <v>14</v>
      </c>
      <c r="G37" s="619">
        <f>'Parrilla de Aireación'!G37/2</f>
        <v>12.258039999999999</v>
      </c>
      <c r="H37" s="607">
        <f t="shared" si="3"/>
        <v>0</v>
      </c>
      <c r="J37" s="64"/>
      <c r="K37" s="64"/>
      <c r="L37" s="200"/>
      <c r="M37" s="201"/>
    </row>
    <row r="38" spans="1:13" ht="14.25" x14ac:dyDescent="0.2">
      <c r="A38" s="189"/>
      <c r="B38" s="735" t="s">
        <v>27</v>
      </c>
      <c r="C38" s="717"/>
      <c r="D38" s="717"/>
      <c r="E38" s="719">
        <v>5</v>
      </c>
      <c r="F38" s="720" t="s">
        <v>6</v>
      </c>
      <c r="G38" s="653">
        <v>5</v>
      </c>
      <c r="H38" s="607">
        <f t="shared" si="3"/>
        <v>0</v>
      </c>
      <c r="J38" s="64"/>
      <c r="K38" s="64"/>
      <c r="L38" s="200"/>
      <c r="M38" s="201"/>
    </row>
    <row r="39" spans="1:13" ht="14.25" x14ac:dyDescent="0.2">
      <c r="A39" s="189"/>
      <c r="B39" s="501" t="s">
        <v>71</v>
      </c>
      <c r="C39" s="20"/>
      <c r="D39" s="20"/>
      <c r="E39" s="55">
        <v>4</v>
      </c>
      <c r="F39" s="22" t="s">
        <v>25</v>
      </c>
      <c r="G39" s="653">
        <v>4</v>
      </c>
      <c r="H39" s="607">
        <f t="shared" si="3"/>
        <v>0</v>
      </c>
      <c r="J39" s="64"/>
      <c r="K39" s="64"/>
      <c r="L39" s="200"/>
      <c r="M39" s="201"/>
    </row>
    <row r="40" spans="1:13" ht="14.25" x14ac:dyDescent="0.2">
      <c r="A40" s="189"/>
      <c r="B40" s="337" t="s">
        <v>272</v>
      </c>
      <c r="C40" s="221"/>
      <c r="D40" s="221"/>
      <c r="E40" s="338">
        <f>0.001*E37/(0.25*3.14*(0.0254*E39)^2)</f>
        <v>1.5127388535031847</v>
      </c>
      <c r="F40" s="11" t="s">
        <v>4</v>
      </c>
      <c r="G40" s="699">
        <f>0.001*G37/(0.25*3.14*(0.0254*G39)^2)</f>
        <v>1.5127388535031847</v>
      </c>
      <c r="H40" s="607">
        <f t="shared" si="3"/>
        <v>0</v>
      </c>
      <c r="J40" s="64"/>
      <c r="K40" s="64"/>
      <c r="L40" s="200"/>
      <c r="M40" s="201"/>
    </row>
    <row r="41" spans="1:13" ht="14.25" x14ac:dyDescent="0.2">
      <c r="A41" s="504" t="s">
        <v>447</v>
      </c>
      <c r="B41" s="339" t="s">
        <v>29</v>
      </c>
      <c r="C41" s="340"/>
      <c r="D41" s="340"/>
      <c r="E41" s="272">
        <f>(10.672*E38*(0.001*E37/E36)^1.852)/(0.0254*E39)^4.871</f>
        <v>0.11995384836032601</v>
      </c>
      <c r="F41" s="510" t="s">
        <v>2</v>
      </c>
      <c r="G41" s="700">
        <f>(10.672*G38*(0.001*G37/G36)^1.852)/(0.0254*G39)^4.871</f>
        <v>0.11995384836032601</v>
      </c>
      <c r="H41" s="607">
        <f t="shared" si="3"/>
        <v>0</v>
      </c>
      <c r="J41" s="64"/>
      <c r="K41" s="64"/>
      <c r="L41" s="200"/>
      <c r="M41" s="201"/>
    </row>
    <row r="42" spans="1:13" ht="14.25" x14ac:dyDescent="0.2">
      <c r="A42" s="189"/>
      <c r="B42" s="337" t="s">
        <v>26</v>
      </c>
      <c r="C42" s="221"/>
      <c r="D42" s="221"/>
      <c r="E42" s="338">
        <f>E40^2/19.6</f>
        <v>0.11675402239276172</v>
      </c>
      <c r="F42" s="11" t="s">
        <v>2</v>
      </c>
      <c r="G42" s="699">
        <f>G40^2/19.6</f>
        <v>0.11675402239276172</v>
      </c>
      <c r="H42" s="607">
        <f t="shared" si="3"/>
        <v>0</v>
      </c>
      <c r="J42" s="64"/>
      <c r="K42" s="64"/>
      <c r="L42" s="200"/>
      <c r="M42" s="201"/>
    </row>
    <row r="43" spans="1:13" ht="15" x14ac:dyDescent="0.2">
      <c r="A43" s="189"/>
      <c r="B43" s="183" t="s">
        <v>30</v>
      </c>
      <c r="C43" s="693" t="s">
        <v>273</v>
      </c>
      <c r="D43" s="181" t="s">
        <v>274</v>
      </c>
      <c r="E43" s="694" t="s">
        <v>502</v>
      </c>
      <c r="F43" s="30"/>
      <c r="G43" s="694" t="s">
        <v>502</v>
      </c>
      <c r="H43" s="607"/>
    </row>
    <row r="44" spans="1:13" ht="14.25" x14ac:dyDescent="0.2">
      <c r="A44" s="504" t="s">
        <v>446</v>
      </c>
      <c r="B44" s="53" t="s">
        <v>276</v>
      </c>
      <c r="C44" s="502">
        <v>1.8</v>
      </c>
      <c r="D44" s="503">
        <v>1</v>
      </c>
      <c r="E44" s="55">
        <f>C44*D44*E42</f>
        <v>0.21015724030697111</v>
      </c>
      <c r="F44" s="692"/>
      <c r="G44" s="653">
        <f>C44*D44*G42</f>
        <v>0.21015724030697111</v>
      </c>
      <c r="H44" s="607">
        <f t="shared" ref="H44:H52" si="4">G44-E44</f>
        <v>0</v>
      </c>
    </row>
    <row r="45" spans="1:13" ht="26.25" customHeight="1" x14ac:dyDescent="0.25">
      <c r="A45" s="189"/>
      <c r="B45" s="688" t="s">
        <v>284</v>
      </c>
      <c r="C45" s="803" t="s">
        <v>268</v>
      </c>
      <c r="D45" s="690"/>
      <c r="E45" s="691">
        <f>E51+E54+E55</f>
        <v>0.35740934249974576</v>
      </c>
      <c r="F45" s="692" t="s">
        <v>2</v>
      </c>
      <c r="G45" s="698">
        <f>G51+G54+G55</f>
        <v>0.35740934249974576</v>
      </c>
      <c r="H45" s="607">
        <f t="shared" si="4"/>
        <v>0</v>
      </c>
    </row>
    <row r="46" spans="1:13" ht="18.75" x14ac:dyDescent="0.35">
      <c r="A46" s="189"/>
      <c r="B46" s="53" t="s">
        <v>269</v>
      </c>
      <c r="C46" s="11" t="s">
        <v>270</v>
      </c>
      <c r="D46" s="11" t="s">
        <v>271</v>
      </c>
      <c r="E46" s="51">
        <v>150</v>
      </c>
      <c r="F46" s="696"/>
      <c r="G46" s="618">
        <v>150</v>
      </c>
      <c r="H46" s="607">
        <f t="shared" si="4"/>
        <v>0</v>
      </c>
    </row>
    <row r="47" spans="1:13" ht="14.25" x14ac:dyDescent="0.2">
      <c r="A47" s="504" t="s">
        <v>358</v>
      </c>
      <c r="B47" s="728" t="s">
        <v>99</v>
      </c>
      <c r="C47" s="717"/>
      <c r="D47" s="717"/>
      <c r="E47" s="719">
        <f>E27/4</f>
        <v>6.1290199999999997</v>
      </c>
      <c r="F47" s="424" t="s">
        <v>14</v>
      </c>
      <c r="G47" s="619">
        <f>'Parrilla de Aireación'!G37/4</f>
        <v>6.1290199999999997</v>
      </c>
      <c r="H47" s="607">
        <f t="shared" si="4"/>
        <v>0</v>
      </c>
    </row>
    <row r="48" spans="1:13" ht="14.25" x14ac:dyDescent="0.2">
      <c r="A48" s="189"/>
      <c r="B48" s="735" t="s">
        <v>27</v>
      </c>
      <c r="C48" s="717"/>
      <c r="D48" s="717"/>
      <c r="E48" s="719">
        <f>3*0.38</f>
        <v>1.1400000000000001</v>
      </c>
      <c r="F48" s="720" t="s">
        <v>6</v>
      </c>
      <c r="G48" s="653">
        <f>3*0.38</f>
        <v>1.1400000000000001</v>
      </c>
      <c r="H48" s="607">
        <f t="shared" si="4"/>
        <v>0</v>
      </c>
    </row>
    <row r="49" spans="1:8" ht="14.25" x14ac:dyDescent="0.2">
      <c r="A49" s="189"/>
      <c r="B49" s="501" t="s">
        <v>71</v>
      </c>
      <c r="C49" s="20"/>
      <c r="D49" s="20"/>
      <c r="E49" s="55">
        <v>3</v>
      </c>
      <c r="F49" s="22" t="s">
        <v>25</v>
      </c>
      <c r="G49" s="653">
        <v>3</v>
      </c>
      <c r="H49" s="607">
        <f t="shared" si="4"/>
        <v>0</v>
      </c>
    </row>
    <row r="50" spans="1:8" ht="14.25" x14ac:dyDescent="0.2">
      <c r="A50" s="189"/>
      <c r="B50" s="337" t="s">
        <v>272</v>
      </c>
      <c r="C50" s="221"/>
      <c r="D50" s="221"/>
      <c r="E50" s="338">
        <f>0.001*E47/(0.25*3.14*(0.0254*E49)^2)</f>
        <v>1.3446567586694977</v>
      </c>
      <c r="F50" s="11" t="s">
        <v>4</v>
      </c>
      <c r="G50" s="699">
        <f>0.001*G47/(0.25*3.14*(0.0254*G49)^2)</f>
        <v>1.3446567586694977</v>
      </c>
      <c r="H50" s="607">
        <f t="shared" si="4"/>
        <v>0</v>
      </c>
    </row>
    <row r="51" spans="1:8" ht="14.25" x14ac:dyDescent="0.2">
      <c r="A51" s="504" t="s">
        <v>447</v>
      </c>
      <c r="B51" s="339" t="s">
        <v>29</v>
      </c>
      <c r="C51" s="340"/>
      <c r="D51" s="340"/>
      <c r="E51" s="272">
        <f>(10.672*E48*(0.001*E47/E46)^1.852)/(0.0254*E49)^4.871</f>
        <v>2.5309012138112305E-2</v>
      </c>
      <c r="F51" s="510" t="s">
        <v>2</v>
      </c>
      <c r="G51" s="700">
        <f>(10.672*G48*(0.001*G47/G46)^1.852)/(0.0254*G49)^4.871</f>
        <v>2.5309012138112305E-2</v>
      </c>
      <c r="H51" s="607">
        <f t="shared" si="4"/>
        <v>0</v>
      </c>
    </row>
    <row r="52" spans="1:8" ht="15.95" customHeight="1" x14ac:dyDescent="0.2">
      <c r="A52" s="189"/>
      <c r="B52" s="337" t="s">
        <v>26</v>
      </c>
      <c r="C52" s="221"/>
      <c r="D52" s="221"/>
      <c r="E52" s="338">
        <f>E50^2/19.6</f>
        <v>9.2250091767120401E-2</v>
      </c>
      <c r="F52" s="11" t="s">
        <v>2</v>
      </c>
      <c r="G52" s="699">
        <f>G50^2/19.6</f>
        <v>9.2250091767120401E-2</v>
      </c>
      <c r="H52" s="607">
        <f t="shared" si="4"/>
        <v>0</v>
      </c>
    </row>
    <row r="53" spans="1:8" ht="15.75" customHeight="1" x14ac:dyDescent="0.2">
      <c r="A53" s="189"/>
      <c r="B53" s="183" t="s">
        <v>30</v>
      </c>
      <c r="C53" s="693" t="s">
        <v>273</v>
      </c>
      <c r="D53" s="181" t="s">
        <v>274</v>
      </c>
      <c r="E53" s="694" t="s">
        <v>502</v>
      </c>
      <c r="F53" s="30"/>
      <c r="G53" s="694" t="s">
        <v>502</v>
      </c>
      <c r="H53" s="607"/>
    </row>
    <row r="54" spans="1:8" ht="15.95" customHeight="1" x14ac:dyDescent="0.2">
      <c r="A54" s="504" t="s">
        <v>446</v>
      </c>
      <c r="B54" s="53" t="s">
        <v>283</v>
      </c>
      <c r="C54" s="502">
        <v>0.4</v>
      </c>
      <c r="D54" s="503">
        <v>3</v>
      </c>
      <c r="E54" s="55">
        <f>C54*D54*E52</f>
        <v>0.1107001101205445</v>
      </c>
      <c r="F54" s="692" t="s">
        <v>2</v>
      </c>
      <c r="G54" s="653">
        <f>C54*D54*$G$52</f>
        <v>0.1107001101205445</v>
      </c>
      <c r="H54" s="607">
        <f>G54-E54</f>
        <v>0</v>
      </c>
    </row>
    <row r="55" spans="1:8" ht="15.95" customHeight="1" x14ac:dyDescent="0.2">
      <c r="A55" s="504" t="s">
        <v>446</v>
      </c>
      <c r="B55" s="53" t="s">
        <v>285</v>
      </c>
      <c r="C55" s="502">
        <v>0.3</v>
      </c>
      <c r="D55" s="503">
        <v>8</v>
      </c>
      <c r="E55" s="55">
        <f>E52*C55*D55</f>
        <v>0.22140022024108896</v>
      </c>
      <c r="F55" s="692" t="s">
        <v>2</v>
      </c>
      <c r="G55" s="653">
        <f>C55*D55*$G$52</f>
        <v>0.22140022024108896</v>
      </c>
      <c r="H55" s="607">
        <f>G55-E55</f>
        <v>0</v>
      </c>
    </row>
    <row r="56" spans="1:8" ht="15.95" customHeight="1" x14ac:dyDescent="0.2"/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8DF8E-3A32-457C-9C7A-6098C0ED8356}">
  <dimension ref="A1:M42"/>
  <sheetViews>
    <sheetView showGridLines="0" zoomScale="75" zoomScaleNormal="75" workbookViewId="0">
      <selection activeCell="E36" sqref="E36"/>
    </sheetView>
  </sheetViews>
  <sheetFormatPr baseColWidth="10" defaultRowHeight="12.75" x14ac:dyDescent="0.2"/>
  <cols>
    <col min="1" max="1" width="22" customWidth="1"/>
    <col min="2" max="2" width="31.7109375" customWidth="1"/>
    <col min="3" max="3" width="10.42578125" customWidth="1"/>
    <col min="4" max="4" width="15" customWidth="1"/>
    <col min="5" max="5" width="12.42578125" customWidth="1"/>
    <col min="6" max="6" width="6.5703125" customWidth="1"/>
    <col min="7" max="7" width="14.42578125" customWidth="1"/>
    <col min="8" max="8" width="15" customWidth="1"/>
    <col min="9" max="9" width="24.28515625" customWidth="1"/>
    <col min="10" max="10" width="14.85546875" customWidth="1"/>
    <col min="11" max="11" width="7.28515625" customWidth="1"/>
    <col min="12" max="12" width="15" customWidth="1"/>
  </cols>
  <sheetData>
    <row r="1" spans="1:8" ht="34.5" customHeight="1" x14ac:dyDescent="0.2">
      <c r="A1" s="677" t="s">
        <v>121</v>
      </c>
      <c r="G1" s="392" t="s">
        <v>264</v>
      </c>
      <c r="H1" s="393" t="s">
        <v>265</v>
      </c>
    </row>
    <row r="2" spans="1:8" ht="15.75" x14ac:dyDescent="0.25">
      <c r="A2" s="678"/>
      <c r="B2" s="679"/>
      <c r="C2" s="680" t="s">
        <v>308</v>
      </c>
      <c r="D2" s="30"/>
      <c r="E2" s="30"/>
      <c r="F2" s="30"/>
      <c r="G2" s="681"/>
      <c r="H2" s="607"/>
    </row>
    <row r="3" spans="1:8" ht="20.25" customHeight="1" x14ac:dyDescent="0.25">
      <c r="A3" s="678"/>
      <c r="B3" s="682"/>
      <c r="C3" s="701" t="s">
        <v>266</v>
      </c>
      <c r="D3" s="685"/>
      <c r="E3" s="685">
        <f>E4+E16+E28</f>
        <v>0.49784770328443689</v>
      </c>
      <c r="F3" s="686" t="s">
        <v>2</v>
      </c>
      <c r="G3" s="698">
        <f>G4+G16+G28</f>
        <v>0.49784770328443689</v>
      </c>
      <c r="H3" s="607">
        <f t="shared" ref="H3:H37" si="0">G3-E3</f>
        <v>0</v>
      </c>
    </row>
    <row r="4" spans="1:8" ht="15.75" x14ac:dyDescent="0.25">
      <c r="A4" s="189"/>
      <c r="B4" s="688" t="s">
        <v>267</v>
      </c>
      <c r="C4" s="689" t="s">
        <v>268</v>
      </c>
      <c r="D4" s="690"/>
      <c r="E4" s="691">
        <f>E13+E15</f>
        <v>5.5105921053272028E-2</v>
      </c>
      <c r="F4" s="692" t="s">
        <v>2</v>
      </c>
      <c r="G4" s="698">
        <f>G13+G15</f>
        <v>5.5105921053272028E-2</v>
      </c>
      <c r="H4" s="607">
        <f t="shared" si="0"/>
        <v>0</v>
      </c>
    </row>
    <row r="5" spans="1:8" ht="18.75" x14ac:dyDescent="0.35">
      <c r="A5" s="189"/>
      <c r="B5" s="53" t="s">
        <v>269</v>
      </c>
      <c r="C5" s="11" t="s">
        <v>270</v>
      </c>
      <c r="D5" s="11" t="s">
        <v>271</v>
      </c>
      <c r="E5" s="51">
        <v>150</v>
      </c>
      <c r="F5" s="696"/>
      <c r="G5" s="618">
        <v>150</v>
      </c>
      <c r="H5" s="607">
        <f t="shared" si="0"/>
        <v>0</v>
      </c>
    </row>
    <row r="6" spans="1:8" ht="14.25" x14ac:dyDescent="0.2">
      <c r="A6" s="504" t="s">
        <v>514</v>
      </c>
      <c r="B6" s="63" t="s">
        <v>328</v>
      </c>
      <c r="C6" s="20"/>
      <c r="E6" s="65">
        <f>'Parab Tilapias '!E175</f>
        <v>5.6618420288303088</v>
      </c>
      <c r="F6" s="7" t="s">
        <v>14</v>
      </c>
      <c r="G6" s="619">
        <f>'Parab Tilapias '!G175</f>
        <v>5.6618420288303088</v>
      </c>
      <c r="H6" s="607">
        <f t="shared" si="0"/>
        <v>0</v>
      </c>
    </row>
    <row r="7" spans="1:8" ht="14.25" x14ac:dyDescent="0.2">
      <c r="A7" s="189"/>
      <c r="B7" s="728" t="s">
        <v>98</v>
      </c>
      <c r="C7" s="717"/>
      <c r="D7" s="717"/>
      <c r="E7" s="719">
        <v>2</v>
      </c>
      <c r="F7" s="424"/>
      <c r="G7" s="653">
        <v>2</v>
      </c>
      <c r="H7" s="607">
        <f t="shared" si="0"/>
        <v>0</v>
      </c>
    </row>
    <row r="8" spans="1:8" ht="14.25" x14ac:dyDescent="0.2">
      <c r="A8" s="189"/>
      <c r="B8" s="501" t="s">
        <v>278</v>
      </c>
      <c r="C8" s="20"/>
      <c r="D8" s="20"/>
      <c r="E8" s="55">
        <f>E6/E7</f>
        <v>2.8309210144151544</v>
      </c>
      <c r="F8" s="22" t="s">
        <v>14</v>
      </c>
      <c r="G8" s="653">
        <f>G6/G7</f>
        <v>2.8309210144151544</v>
      </c>
      <c r="H8" s="607">
        <f t="shared" si="0"/>
        <v>0</v>
      </c>
    </row>
    <row r="9" spans="1:8" ht="14.25" x14ac:dyDescent="0.2">
      <c r="A9" s="189"/>
      <c r="B9" s="729" t="s">
        <v>27</v>
      </c>
      <c r="C9" s="367"/>
      <c r="D9" s="367"/>
      <c r="E9" s="730">
        <v>9.5</v>
      </c>
      <c r="F9" s="572" t="s">
        <v>6</v>
      </c>
      <c r="G9" s="699">
        <v>9.5</v>
      </c>
      <c r="H9" s="607">
        <f t="shared" si="0"/>
        <v>0</v>
      </c>
    </row>
    <row r="10" spans="1:8" ht="14.25" x14ac:dyDescent="0.2">
      <c r="A10" s="773" t="s">
        <v>522</v>
      </c>
      <c r="B10" s="731" t="s">
        <v>71</v>
      </c>
      <c r="C10" s="732"/>
      <c r="D10" s="732"/>
      <c r="E10" s="733">
        <v>3</v>
      </c>
      <c r="F10" s="734" t="s">
        <v>25</v>
      </c>
      <c r="G10" s="700">
        <v>3</v>
      </c>
      <c r="H10" s="607">
        <f t="shared" si="0"/>
        <v>0</v>
      </c>
    </row>
    <row r="11" spans="1:8" ht="14.25" x14ac:dyDescent="0.2">
      <c r="A11" s="189"/>
      <c r="B11" s="337" t="s">
        <v>272</v>
      </c>
      <c r="C11" s="221"/>
      <c r="D11" s="221"/>
      <c r="E11" s="338">
        <f>0.001*E8/(0.25*3.14*(0.0254*E10)^2)</f>
        <v>0.62108087023583669</v>
      </c>
      <c r="F11" s="11" t="s">
        <v>4</v>
      </c>
      <c r="G11" s="699">
        <f>0.001*G8/(0.25*3.14*(0.0254*G10)^2)</f>
        <v>0.62108087023583669</v>
      </c>
      <c r="H11" s="607">
        <f t="shared" si="0"/>
        <v>0</v>
      </c>
    </row>
    <row r="12" spans="1:8" ht="14.25" x14ac:dyDescent="0.2">
      <c r="A12" s="504" t="s">
        <v>447</v>
      </c>
      <c r="B12" s="337" t="s">
        <v>29</v>
      </c>
      <c r="C12" s="221"/>
      <c r="D12" s="221"/>
      <c r="E12" s="338">
        <f>(10.672*E9*(0.001*E8/E5)^1.852)/(0.0254*E10)^4.871</f>
        <v>5.0444746266837093E-2</v>
      </c>
      <c r="F12" s="11" t="s">
        <v>2</v>
      </c>
      <c r="G12" s="699">
        <f>(10.672*G9*(0.001*G8/G5)^1.852)/(0.0254*G10)^4.871</f>
        <v>5.0444746266837093E-2</v>
      </c>
      <c r="H12" s="607">
        <f t="shared" si="0"/>
        <v>0</v>
      </c>
    </row>
    <row r="13" spans="1:8" ht="14.25" x14ac:dyDescent="0.2">
      <c r="A13" s="189"/>
      <c r="B13" s="492" t="s">
        <v>26</v>
      </c>
      <c r="C13" s="221"/>
      <c r="E13" s="338">
        <f>E11^2/19.6</f>
        <v>1.9680686090454296E-2</v>
      </c>
      <c r="F13" s="11" t="s">
        <v>2</v>
      </c>
      <c r="G13" s="699">
        <f>G11^2/19.6</f>
        <v>1.9680686090454296E-2</v>
      </c>
      <c r="H13" s="607">
        <f t="shared" si="0"/>
        <v>0</v>
      </c>
    </row>
    <row r="14" spans="1:8" ht="15" x14ac:dyDescent="0.2">
      <c r="A14" s="189"/>
      <c r="B14" s="183" t="s">
        <v>30</v>
      </c>
      <c r="C14" s="693" t="s">
        <v>273</v>
      </c>
      <c r="D14" s="181" t="s">
        <v>274</v>
      </c>
      <c r="E14" s="694" t="s">
        <v>502</v>
      </c>
      <c r="F14" s="30"/>
      <c r="G14" s="694" t="s">
        <v>502</v>
      </c>
      <c r="H14" s="607"/>
    </row>
    <row r="15" spans="1:8" ht="14.25" x14ac:dyDescent="0.2">
      <c r="A15" s="504" t="s">
        <v>446</v>
      </c>
      <c r="B15" s="53" t="s">
        <v>279</v>
      </c>
      <c r="C15" s="502">
        <v>1.8</v>
      </c>
      <c r="D15" s="503">
        <v>1</v>
      </c>
      <c r="E15" s="55">
        <f>C15*D15*E13</f>
        <v>3.5425234962817735E-2</v>
      </c>
      <c r="F15" s="692" t="s">
        <v>2</v>
      </c>
      <c r="G15" s="653">
        <f>C15*D15*G13</f>
        <v>3.5425234962817735E-2</v>
      </c>
      <c r="H15" s="607">
        <f t="shared" si="0"/>
        <v>0</v>
      </c>
    </row>
    <row r="16" spans="1:8" ht="16.5" customHeight="1" x14ac:dyDescent="0.25">
      <c r="A16" s="189"/>
      <c r="B16" s="688" t="s">
        <v>330</v>
      </c>
      <c r="C16" s="689" t="s">
        <v>268</v>
      </c>
      <c r="D16" s="690"/>
      <c r="E16" s="691">
        <f>E22+E25+E26+E27</f>
        <v>0.18863253105188757</v>
      </c>
      <c r="F16" s="692" t="s">
        <v>2</v>
      </c>
      <c r="G16" s="698">
        <f>G22+G25+G26+G27</f>
        <v>0.18863253105188757</v>
      </c>
      <c r="H16" s="607">
        <f t="shared" si="0"/>
        <v>0</v>
      </c>
    </row>
    <row r="17" spans="1:13" ht="18.75" x14ac:dyDescent="0.35">
      <c r="A17" s="189"/>
      <c r="B17" s="53" t="s">
        <v>269</v>
      </c>
      <c r="C17" s="11" t="s">
        <v>270</v>
      </c>
      <c r="D17" s="11" t="s">
        <v>271</v>
      </c>
      <c r="E17" s="51">
        <v>150</v>
      </c>
      <c r="F17" s="696"/>
      <c r="G17" s="618">
        <v>150</v>
      </c>
      <c r="H17" s="607">
        <f t="shared" si="0"/>
        <v>0</v>
      </c>
    </row>
    <row r="18" spans="1:13" ht="14.25" x14ac:dyDescent="0.2">
      <c r="A18" s="504" t="s">
        <v>514</v>
      </c>
      <c r="B18" s="63" t="s">
        <v>278</v>
      </c>
      <c r="C18" s="20"/>
      <c r="E18" s="65">
        <f>E8</f>
        <v>2.8309210144151544</v>
      </c>
      <c r="F18" s="7" t="s">
        <v>14</v>
      </c>
      <c r="G18" s="619">
        <f>G8</f>
        <v>2.8309210144151544</v>
      </c>
      <c r="H18" s="607">
        <f t="shared" si="0"/>
        <v>0</v>
      </c>
    </row>
    <row r="19" spans="1:13" ht="14.25" x14ac:dyDescent="0.2">
      <c r="A19" s="189"/>
      <c r="B19" s="54" t="s">
        <v>27</v>
      </c>
      <c r="C19" s="20"/>
      <c r="D19" s="20"/>
      <c r="E19" s="55">
        <f>0.4+2.2</f>
        <v>2.6</v>
      </c>
      <c r="F19" s="7" t="s">
        <v>6</v>
      </c>
      <c r="G19" s="653">
        <f>0.4+2.2</f>
        <v>2.6</v>
      </c>
      <c r="H19" s="607">
        <f t="shared" si="0"/>
        <v>0</v>
      </c>
    </row>
    <row r="20" spans="1:13" ht="14.25" x14ac:dyDescent="0.2">
      <c r="A20" s="773" t="s">
        <v>522</v>
      </c>
      <c r="B20" s="735" t="s">
        <v>71</v>
      </c>
      <c r="C20" s="717"/>
      <c r="D20" s="717"/>
      <c r="E20" s="719">
        <v>2.5</v>
      </c>
      <c r="F20" s="720" t="s">
        <v>25</v>
      </c>
      <c r="G20" s="653">
        <v>2.5</v>
      </c>
      <c r="H20" s="607">
        <f t="shared" si="0"/>
        <v>0</v>
      </c>
    </row>
    <row r="21" spans="1:13" ht="14.25" x14ac:dyDescent="0.2">
      <c r="A21" s="189"/>
      <c r="B21" s="337" t="s">
        <v>272</v>
      </c>
      <c r="C21" s="221"/>
      <c r="D21" s="221"/>
      <c r="E21" s="338">
        <f>0.001*E18/(0.25*3.14*(0.0254*E20)^2)</f>
        <v>0.89435645313960466</v>
      </c>
      <c r="F21" s="11" t="s">
        <v>4</v>
      </c>
      <c r="G21" s="699">
        <f>0.001*G18/(0.25*3.14*(0.0254*G20)^2)</f>
        <v>0.89435645313960466</v>
      </c>
      <c r="H21" s="607">
        <f t="shared" si="0"/>
        <v>0</v>
      </c>
    </row>
    <row r="22" spans="1:13" ht="14.25" x14ac:dyDescent="0.2">
      <c r="A22" s="504" t="s">
        <v>447</v>
      </c>
      <c r="B22" s="339" t="s">
        <v>29</v>
      </c>
      <c r="C22" s="340"/>
      <c r="D22" s="340"/>
      <c r="E22" s="272">
        <f>(10.672*E19*(0.001*E18/E17)^1.852)/(0.0254*E20)^4.871</f>
        <v>3.3555022478656715E-2</v>
      </c>
      <c r="F22" s="510" t="s">
        <v>2</v>
      </c>
      <c r="G22" s="702">
        <f>(10.672*G19*(0.001*G18/G17)^1.852)/(0.0254*G20)^4.871</f>
        <v>3.3555022478656715E-2</v>
      </c>
      <c r="H22" s="607">
        <f t="shared" si="0"/>
        <v>0</v>
      </c>
      <c r="J22" s="64"/>
      <c r="K22" s="64"/>
      <c r="L22" s="203"/>
    </row>
    <row r="23" spans="1:13" ht="14.25" x14ac:dyDescent="0.2">
      <c r="A23" s="189"/>
      <c r="B23" s="337" t="s">
        <v>26</v>
      </c>
      <c r="C23" s="221"/>
      <c r="D23" s="221"/>
      <c r="E23" s="338">
        <f>E21^2/19.6</f>
        <v>4.0809870677166009E-2</v>
      </c>
      <c r="F23" s="11" t="s">
        <v>2</v>
      </c>
      <c r="G23" s="703">
        <f>G21^2/19.6</f>
        <v>4.0809870677166009E-2</v>
      </c>
      <c r="H23" s="607">
        <f t="shared" si="0"/>
        <v>0</v>
      </c>
      <c r="J23" s="64"/>
      <c r="K23" s="64"/>
      <c r="L23" s="198"/>
      <c r="M23" s="199"/>
    </row>
    <row r="24" spans="1:13" ht="15" x14ac:dyDescent="0.2">
      <c r="A24" s="189"/>
      <c r="B24" s="183" t="s">
        <v>30</v>
      </c>
      <c r="C24" s="693" t="s">
        <v>273</v>
      </c>
      <c r="D24" s="181" t="s">
        <v>274</v>
      </c>
      <c r="E24" s="694" t="s">
        <v>502</v>
      </c>
      <c r="F24" s="30"/>
      <c r="G24" s="695" t="s">
        <v>502</v>
      </c>
      <c r="H24" s="607"/>
      <c r="J24" s="64"/>
      <c r="K24" s="64"/>
      <c r="L24" s="200"/>
      <c r="M24" s="201"/>
    </row>
    <row r="25" spans="1:13" ht="14.25" x14ac:dyDescent="0.2">
      <c r="A25" s="504" t="s">
        <v>446</v>
      </c>
      <c r="B25" s="53" t="s">
        <v>277</v>
      </c>
      <c r="C25" s="502">
        <v>0.9</v>
      </c>
      <c r="D25" s="503">
        <v>2</v>
      </c>
      <c r="E25" s="55">
        <f>C25*D25*E23</f>
        <v>7.3457767218898823E-2</v>
      </c>
      <c r="F25" s="692" t="s">
        <v>2</v>
      </c>
      <c r="G25" s="607">
        <f>C25*D25*$G$23</f>
        <v>7.3457767218898823E-2</v>
      </c>
      <c r="H25" s="607">
        <f t="shared" si="0"/>
        <v>0</v>
      </c>
      <c r="J25" s="64"/>
      <c r="K25" s="64"/>
      <c r="L25" s="200"/>
      <c r="M25" s="201"/>
    </row>
    <row r="26" spans="1:13" ht="14.25" x14ac:dyDescent="0.2">
      <c r="A26" s="504" t="s">
        <v>446</v>
      </c>
      <c r="B26" s="53" t="s">
        <v>279</v>
      </c>
      <c r="C26" s="502">
        <v>1.8</v>
      </c>
      <c r="D26" s="503">
        <v>1</v>
      </c>
      <c r="E26" s="55">
        <f>C26*D26*E23</f>
        <v>7.3457767218898823E-2</v>
      </c>
      <c r="F26" s="692" t="s">
        <v>2</v>
      </c>
      <c r="G26" s="607">
        <f t="shared" ref="G26:G27" si="1">C26*D26*$G$23</f>
        <v>7.3457767218898823E-2</v>
      </c>
      <c r="H26" s="607">
        <f t="shared" si="0"/>
        <v>0</v>
      </c>
      <c r="J26" s="64"/>
      <c r="K26" s="64"/>
      <c r="L26" s="200"/>
      <c r="M26" s="201"/>
    </row>
    <row r="27" spans="1:13" ht="14.25" x14ac:dyDescent="0.2">
      <c r="A27" s="504" t="s">
        <v>446</v>
      </c>
      <c r="B27" s="53" t="s">
        <v>331</v>
      </c>
      <c r="C27" s="502">
        <v>0.2</v>
      </c>
      <c r="D27" s="503">
        <v>1</v>
      </c>
      <c r="E27" s="55">
        <f>C27*D27*E23</f>
        <v>8.1619741354332018E-3</v>
      </c>
      <c r="F27" s="692" t="s">
        <v>2</v>
      </c>
      <c r="G27" s="607">
        <f t="shared" si="1"/>
        <v>8.1619741354332018E-3</v>
      </c>
      <c r="H27" s="607">
        <f t="shared" si="0"/>
        <v>0</v>
      </c>
      <c r="J27" s="64"/>
      <c r="K27" s="64"/>
      <c r="L27" s="200"/>
      <c r="M27" s="201"/>
    </row>
    <row r="28" spans="1:13" ht="15.75" x14ac:dyDescent="0.25">
      <c r="A28" s="189"/>
      <c r="B28" s="688" t="s">
        <v>521</v>
      </c>
      <c r="C28" s="689" t="s">
        <v>268</v>
      </c>
      <c r="D28" s="690"/>
      <c r="E28" s="691">
        <f>E34+E37</f>
        <v>0.2541092511792773</v>
      </c>
      <c r="F28" s="692" t="s">
        <v>2</v>
      </c>
      <c r="G28" s="687">
        <f>G34+G37</f>
        <v>0.2541092511792773</v>
      </c>
      <c r="H28" s="607">
        <f t="shared" si="0"/>
        <v>0</v>
      </c>
    </row>
    <row r="29" spans="1:13" ht="18.75" x14ac:dyDescent="0.35">
      <c r="A29" s="189"/>
      <c r="B29" s="53" t="s">
        <v>269</v>
      </c>
      <c r="C29" s="11" t="s">
        <v>270</v>
      </c>
      <c r="D29" s="11" t="s">
        <v>271</v>
      </c>
      <c r="E29" s="51">
        <v>150</v>
      </c>
      <c r="F29" s="696"/>
      <c r="G29" s="697">
        <v>150</v>
      </c>
      <c r="H29" s="607">
        <f t="shared" si="0"/>
        <v>0</v>
      </c>
    </row>
    <row r="30" spans="1:13" ht="14.25" x14ac:dyDescent="0.2">
      <c r="A30" s="504" t="s">
        <v>514</v>
      </c>
      <c r="B30" s="63" t="s">
        <v>278</v>
      </c>
      <c r="C30" s="20"/>
      <c r="E30" s="65">
        <f>E6</f>
        <v>5.6618420288303088</v>
      </c>
      <c r="F30" s="7" t="s">
        <v>14</v>
      </c>
      <c r="G30" s="704">
        <f>G6</f>
        <v>5.6618420288303088</v>
      </c>
      <c r="H30" s="607">
        <f t="shared" si="0"/>
        <v>0</v>
      </c>
    </row>
    <row r="31" spans="1:13" ht="14.25" x14ac:dyDescent="0.2">
      <c r="A31" s="189"/>
      <c r="B31" s="728" t="s">
        <v>27</v>
      </c>
      <c r="C31" s="717"/>
      <c r="D31" s="717"/>
      <c r="E31" s="719">
        <v>3.4</v>
      </c>
      <c r="F31" s="424" t="s">
        <v>6</v>
      </c>
      <c r="G31" s="607">
        <v>3.4</v>
      </c>
      <c r="H31" s="607">
        <f t="shared" si="0"/>
        <v>0</v>
      </c>
    </row>
    <row r="32" spans="1:13" ht="14.25" x14ac:dyDescent="0.2">
      <c r="A32" s="773" t="s">
        <v>522</v>
      </c>
      <c r="B32" s="735" t="s">
        <v>71</v>
      </c>
      <c r="C32" s="717"/>
      <c r="D32" s="717"/>
      <c r="E32" s="719">
        <v>3</v>
      </c>
      <c r="F32" s="720" t="s">
        <v>25</v>
      </c>
      <c r="G32" s="607">
        <v>3</v>
      </c>
      <c r="H32" s="607">
        <f t="shared" si="0"/>
        <v>0</v>
      </c>
    </row>
    <row r="33" spans="1:8" ht="14.25" x14ac:dyDescent="0.2">
      <c r="A33" s="189"/>
      <c r="B33" s="337" t="s">
        <v>272</v>
      </c>
      <c r="C33" s="221"/>
      <c r="D33" s="221"/>
      <c r="E33" s="338">
        <f>0.001*E30/(0.25*3.14*(0.0254*E32)^2)</f>
        <v>1.2421617404716734</v>
      </c>
      <c r="F33" s="11" t="s">
        <v>4</v>
      </c>
      <c r="G33" s="703">
        <f>0.001*G30/(0.25*3.14*(0.0254*G32)^2)</f>
        <v>1.2421617404716734</v>
      </c>
      <c r="H33" s="607">
        <f t="shared" si="0"/>
        <v>0</v>
      </c>
    </row>
    <row r="34" spans="1:8" ht="14.25" x14ac:dyDescent="0.2">
      <c r="A34" s="504" t="s">
        <v>447</v>
      </c>
      <c r="B34" s="339" t="s">
        <v>29</v>
      </c>
      <c r="C34" s="340"/>
      <c r="D34" s="340"/>
      <c r="E34" s="272">
        <f>(10.672*E31*(0.001*E30/E29)^1.852)/(0.0254*E32)^4.871</f>
        <v>6.5174664710916097E-2</v>
      </c>
      <c r="F34" s="510" t="s">
        <v>2</v>
      </c>
      <c r="G34" s="702">
        <f>(10.672*G31*(0.001*G30/G29)^1.852)/(0.0254*G32)^4.871</f>
        <v>6.5174664710916097E-2</v>
      </c>
      <c r="H34" s="607">
        <f t="shared" si="0"/>
        <v>0</v>
      </c>
    </row>
    <row r="35" spans="1:8" ht="14.25" x14ac:dyDescent="0.2">
      <c r="A35" s="189"/>
      <c r="B35" s="337" t="s">
        <v>26</v>
      </c>
      <c r="C35" s="221"/>
      <c r="D35" s="221"/>
      <c r="E35" s="338">
        <f>E33^2/19.6</f>
        <v>7.8722744361817185E-2</v>
      </c>
      <c r="F35" s="11" t="s">
        <v>2</v>
      </c>
      <c r="G35" s="703">
        <f>G33^2/19.6</f>
        <v>7.8722744361817185E-2</v>
      </c>
      <c r="H35" s="607">
        <f t="shared" si="0"/>
        <v>0</v>
      </c>
    </row>
    <row r="36" spans="1:8" ht="15" x14ac:dyDescent="0.2">
      <c r="A36" s="189"/>
      <c r="B36" s="505" t="s">
        <v>30</v>
      </c>
      <c r="C36" s="693" t="s">
        <v>273</v>
      </c>
      <c r="D36" s="693" t="s">
        <v>274</v>
      </c>
      <c r="E36" s="694" t="s">
        <v>502</v>
      </c>
      <c r="F36" s="184"/>
      <c r="G36" s="695" t="s">
        <v>502</v>
      </c>
      <c r="H36" s="607"/>
    </row>
    <row r="37" spans="1:8" ht="14.25" x14ac:dyDescent="0.2">
      <c r="A37" s="504" t="s">
        <v>446</v>
      </c>
      <c r="B37" s="53" t="s">
        <v>332</v>
      </c>
      <c r="C37" s="502">
        <v>0.3</v>
      </c>
      <c r="D37" s="503">
        <v>8</v>
      </c>
      <c r="E37" s="55">
        <f>C37*D37*E35</f>
        <v>0.18893458646836123</v>
      </c>
      <c r="F37" s="692" t="s">
        <v>2</v>
      </c>
      <c r="G37" s="607">
        <f>C37*D37*G35</f>
        <v>0.18893458646836123</v>
      </c>
      <c r="H37" s="607">
        <f t="shared" si="0"/>
        <v>0</v>
      </c>
    </row>
    <row r="40" spans="1:8" x14ac:dyDescent="0.2">
      <c r="C40" s="66"/>
    </row>
    <row r="41" spans="1:8" x14ac:dyDescent="0.2">
      <c r="C41" s="66"/>
    </row>
    <row r="42" spans="1:8" x14ac:dyDescent="0.2">
      <c r="C42" s="66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FC202-0503-4727-B7CA-E614989BCFDC}">
  <dimension ref="A1:H74"/>
  <sheetViews>
    <sheetView showGridLines="0" zoomScale="75" zoomScaleNormal="75" workbookViewId="0">
      <selection activeCell="I34" sqref="I34"/>
    </sheetView>
  </sheetViews>
  <sheetFormatPr baseColWidth="10" defaultRowHeight="12.75" x14ac:dyDescent="0.2"/>
  <cols>
    <col min="1" max="1" width="26.5703125" customWidth="1"/>
    <col min="2" max="2" width="43.42578125" customWidth="1"/>
    <col min="3" max="3" width="12.28515625" customWidth="1"/>
    <col min="4" max="4" width="17.85546875" customWidth="1"/>
    <col min="5" max="5" width="12.42578125" customWidth="1"/>
    <col min="6" max="6" width="9.85546875" customWidth="1"/>
    <col min="7" max="7" width="13.7109375" customWidth="1"/>
    <col min="8" max="8" width="13.28515625" customWidth="1"/>
    <col min="9" max="9" width="24.28515625" customWidth="1"/>
    <col min="10" max="10" width="14.85546875" customWidth="1"/>
    <col min="11" max="11" width="7.28515625" customWidth="1"/>
    <col min="12" max="12" width="15" customWidth="1"/>
  </cols>
  <sheetData>
    <row r="1" spans="1:8" ht="31.5" customHeight="1" x14ac:dyDescent="0.2">
      <c r="A1" s="677" t="s">
        <v>121</v>
      </c>
      <c r="G1" s="392" t="s">
        <v>264</v>
      </c>
      <c r="H1" s="393" t="s">
        <v>265</v>
      </c>
    </row>
    <row r="2" spans="1:8" ht="15.75" x14ac:dyDescent="0.25">
      <c r="B2" s="679"/>
      <c r="C2" s="680" t="s">
        <v>340</v>
      </c>
      <c r="D2" s="30"/>
      <c r="E2" s="30"/>
      <c r="F2" s="30"/>
      <c r="G2" s="679"/>
      <c r="H2" s="797"/>
    </row>
    <row r="3" spans="1:8" ht="22.5" customHeight="1" x14ac:dyDescent="0.25">
      <c r="A3" s="189"/>
      <c r="B3" s="723" t="s">
        <v>266</v>
      </c>
      <c r="C3" s="683"/>
      <c r="D3" s="684"/>
      <c r="E3" s="685">
        <f>E4+E16</f>
        <v>2.8771410177280679</v>
      </c>
      <c r="F3" s="686" t="s">
        <v>2</v>
      </c>
      <c r="G3" s="698">
        <f>G4+G16</f>
        <v>2.8771410177280679</v>
      </c>
      <c r="H3" s="607">
        <f t="shared" ref="H3:H59" si="0">G3-E3</f>
        <v>0</v>
      </c>
    </row>
    <row r="4" spans="1:8" ht="15.75" x14ac:dyDescent="0.25">
      <c r="A4" s="189"/>
      <c r="B4" s="724" t="s">
        <v>378</v>
      </c>
      <c r="C4" s="707" t="s">
        <v>268</v>
      </c>
      <c r="D4" s="690"/>
      <c r="E4" s="691">
        <f>E10+SUM(E13:E15)</f>
        <v>2.2241657891598168</v>
      </c>
      <c r="F4" s="692" t="s">
        <v>2</v>
      </c>
      <c r="G4" s="698">
        <f>G10+SUM(G13:G15)</f>
        <v>2.2241657891598168</v>
      </c>
      <c r="H4" s="607">
        <f t="shared" si="0"/>
        <v>0</v>
      </c>
    </row>
    <row r="5" spans="1:8" ht="18.75" x14ac:dyDescent="0.35">
      <c r="A5" s="189"/>
      <c r="B5" s="11" t="s">
        <v>269</v>
      </c>
      <c r="C5" s="11" t="s">
        <v>270</v>
      </c>
      <c r="D5" s="11" t="s">
        <v>271</v>
      </c>
      <c r="E5" s="51">
        <v>150</v>
      </c>
      <c r="F5" s="696"/>
      <c r="G5" s="618">
        <v>150</v>
      </c>
      <c r="H5" s="607">
        <f t="shared" si="0"/>
        <v>0</v>
      </c>
    </row>
    <row r="6" spans="1:8" ht="14.25" x14ac:dyDescent="0.2">
      <c r="A6" s="504" t="s">
        <v>514</v>
      </c>
      <c r="B6" s="19" t="s">
        <v>278</v>
      </c>
      <c r="C6" s="20"/>
      <c r="D6" s="30"/>
      <c r="E6" s="55">
        <f>'Parab Tilapias '!E183</f>
        <v>7.7419200000000004</v>
      </c>
      <c r="F6" s="696" t="s">
        <v>14</v>
      </c>
      <c r="G6" s="653">
        <f>'Parab Tilapias '!E183</f>
        <v>7.7419200000000004</v>
      </c>
      <c r="H6" s="607">
        <f t="shared" si="0"/>
        <v>0</v>
      </c>
    </row>
    <row r="7" spans="1:8" ht="14.25" x14ac:dyDescent="0.2">
      <c r="A7" s="189"/>
      <c r="B7" s="424" t="s">
        <v>27</v>
      </c>
      <c r="C7" s="717"/>
      <c r="D7" s="718"/>
      <c r="E7" s="719">
        <f>2+0.7+0.9+4.5</f>
        <v>8.1</v>
      </c>
      <c r="F7" s="424" t="s">
        <v>6</v>
      </c>
      <c r="G7" s="653">
        <f>2+0.7+0.9+4.5</f>
        <v>8.1</v>
      </c>
      <c r="H7" s="607">
        <f t="shared" si="0"/>
        <v>0</v>
      </c>
    </row>
    <row r="8" spans="1:8" ht="14.25" x14ac:dyDescent="0.2">
      <c r="A8" s="189"/>
      <c r="B8" s="720" t="s">
        <v>71</v>
      </c>
      <c r="C8" s="717"/>
      <c r="D8" s="718"/>
      <c r="E8" s="719">
        <v>2.5</v>
      </c>
      <c r="F8" s="720" t="s">
        <v>25</v>
      </c>
      <c r="G8" s="653">
        <v>2.5</v>
      </c>
      <c r="H8" s="607">
        <f t="shared" si="0"/>
        <v>0</v>
      </c>
    </row>
    <row r="9" spans="1:8" ht="14.25" x14ac:dyDescent="0.2">
      <c r="A9" s="189"/>
      <c r="B9" s="492" t="s">
        <v>272</v>
      </c>
      <c r="C9" s="221"/>
      <c r="D9" s="30"/>
      <c r="E9" s="338">
        <f>0.001*E6/(0.25*3.14*(0.0254*E8)^2)</f>
        <v>2.4458598726114649</v>
      </c>
      <c r="F9" s="11" t="s">
        <v>4</v>
      </c>
      <c r="G9" s="699">
        <f>0.001*G6/(0.25*3.14*(0.0254*G8)^2)</f>
        <v>2.4458598726114649</v>
      </c>
      <c r="H9" s="607">
        <f t="shared" si="0"/>
        <v>0</v>
      </c>
    </row>
    <row r="10" spans="1:8" ht="14.25" x14ac:dyDescent="0.2">
      <c r="A10" s="504" t="s">
        <v>447</v>
      </c>
      <c r="B10" s="725" t="s">
        <v>29</v>
      </c>
      <c r="C10" s="340"/>
      <c r="D10" s="30"/>
      <c r="E10" s="272">
        <f>(10.672*E7*(0.001*E6/E5)^1.852)/(0.0254*E8)^4.871</f>
        <v>0.67366930836538153</v>
      </c>
      <c r="F10" s="510" t="s">
        <v>2</v>
      </c>
      <c r="G10" s="700">
        <f>(10.672*G7*(0.001*G6/G5)^1.852)/(0.0254*G8)^4.871</f>
        <v>0.67366930836538153</v>
      </c>
      <c r="H10" s="607">
        <f t="shared" si="0"/>
        <v>0</v>
      </c>
    </row>
    <row r="11" spans="1:8" ht="14.25" x14ac:dyDescent="0.2">
      <c r="A11" s="189"/>
      <c r="B11" s="492" t="s">
        <v>26</v>
      </c>
      <c r="C11" s="221"/>
      <c r="D11" s="30"/>
      <c r="E11" s="338">
        <f>E9^2/19.6</f>
        <v>0.30521584267606994</v>
      </c>
      <c r="F11" s="11" t="s">
        <v>2</v>
      </c>
      <c r="G11" s="699">
        <f>G9^2/19.6</f>
        <v>0.30521584267606994</v>
      </c>
      <c r="H11" s="607">
        <f t="shared" si="0"/>
        <v>0</v>
      </c>
    </row>
    <row r="12" spans="1:8" ht="25.5" x14ac:dyDescent="0.2">
      <c r="A12" s="189"/>
      <c r="B12" s="505" t="s">
        <v>30</v>
      </c>
      <c r="C12" s="693" t="s">
        <v>273</v>
      </c>
      <c r="D12" s="181" t="s">
        <v>274</v>
      </c>
      <c r="E12" s="769" t="s">
        <v>502</v>
      </c>
      <c r="F12" s="30"/>
      <c r="G12" s="695" t="s">
        <v>507</v>
      </c>
      <c r="H12" s="607"/>
    </row>
    <row r="13" spans="1:8" ht="14.25" x14ac:dyDescent="0.2">
      <c r="A13" s="504" t="s">
        <v>511</v>
      </c>
      <c r="B13" s="11" t="s">
        <v>313</v>
      </c>
      <c r="C13" s="502">
        <v>1.48</v>
      </c>
      <c r="D13" s="503">
        <v>1</v>
      </c>
      <c r="E13" s="55">
        <f>C13*D13*E11</f>
        <v>0.45171944716058349</v>
      </c>
      <c r="F13" s="692"/>
      <c r="G13" s="653">
        <f>C13*D13*$G$11</f>
        <v>0.45171944716058349</v>
      </c>
      <c r="H13" s="607">
        <f t="shared" si="0"/>
        <v>0</v>
      </c>
    </row>
    <row r="14" spans="1:8" ht="14.25" x14ac:dyDescent="0.2">
      <c r="A14" s="504" t="s">
        <v>446</v>
      </c>
      <c r="B14" s="11" t="s">
        <v>277</v>
      </c>
      <c r="C14" s="502">
        <v>0.9</v>
      </c>
      <c r="D14" s="503">
        <v>2</v>
      </c>
      <c r="E14" s="55">
        <f>C14*D14*E11</f>
        <v>0.54938851681692591</v>
      </c>
      <c r="F14" s="692"/>
      <c r="G14" s="653">
        <f t="shared" ref="G14:G15" si="1">C14*D14*$G$11</f>
        <v>0.54938851681692591</v>
      </c>
      <c r="H14" s="607">
        <f t="shared" si="0"/>
        <v>0</v>
      </c>
    </row>
    <row r="15" spans="1:8" ht="14.25" x14ac:dyDescent="0.2">
      <c r="A15" s="504" t="s">
        <v>446</v>
      </c>
      <c r="B15" s="11" t="s">
        <v>312</v>
      </c>
      <c r="C15" s="502">
        <v>1.8</v>
      </c>
      <c r="D15" s="503">
        <v>1</v>
      </c>
      <c r="E15" s="55">
        <f>C15*D15*E11</f>
        <v>0.54938851681692591</v>
      </c>
      <c r="F15" s="692"/>
      <c r="G15" s="653">
        <f t="shared" si="1"/>
        <v>0.54938851681692591</v>
      </c>
      <c r="H15" s="607">
        <f t="shared" si="0"/>
        <v>0</v>
      </c>
    </row>
    <row r="16" spans="1:8" ht="18" customHeight="1" x14ac:dyDescent="0.25">
      <c r="A16" s="189"/>
      <c r="B16" s="724" t="s">
        <v>379</v>
      </c>
      <c r="C16" s="707" t="s">
        <v>268</v>
      </c>
      <c r="D16" s="690"/>
      <c r="E16" s="691">
        <f>E22+E25</f>
        <v>0.65297522856825085</v>
      </c>
      <c r="F16" s="692" t="s">
        <v>2</v>
      </c>
      <c r="G16" s="698">
        <f>G22+G25</f>
        <v>0.65297522856825085</v>
      </c>
      <c r="H16" s="607">
        <f t="shared" si="0"/>
        <v>0</v>
      </c>
    </row>
    <row r="17" spans="1:8" ht="18.75" x14ac:dyDescent="0.35">
      <c r="A17" s="189"/>
      <c r="B17" s="11" t="s">
        <v>269</v>
      </c>
      <c r="C17" s="11" t="s">
        <v>270</v>
      </c>
      <c r="D17" s="11" t="s">
        <v>271</v>
      </c>
      <c r="E17" s="51">
        <v>150</v>
      </c>
      <c r="F17" s="696"/>
      <c r="G17" s="618">
        <v>150</v>
      </c>
      <c r="H17" s="607">
        <f t="shared" si="0"/>
        <v>0</v>
      </c>
    </row>
    <row r="18" spans="1:8" ht="14.25" x14ac:dyDescent="0.2">
      <c r="A18" s="189"/>
      <c r="B18" s="19" t="s">
        <v>99</v>
      </c>
      <c r="C18" s="20"/>
      <c r="D18" s="30"/>
      <c r="E18" s="55">
        <f>E6/2</f>
        <v>3.8709600000000002</v>
      </c>
      <c r="F18" s="696" t="s">
        <v>14</v>
      </c>
      <c r="G18" s="653">
        <f>G6/2</f>
        <v>3.8709600000000002</v>
      </c>
      <c r="H18" s="607">
        <f t="shared" si="0"/>
        <v>0</v>
      </c>
    </row>
    <row r="19" spans="1:8" ht="15" customHeight="1" x14ac:dyDescent="0.2">
      <c r="A19" s="189"/>
      <c r="B19" s="7" t="s">
        <v>27</v>
      </c>
      <c r="C19" s="20"/>
      <c r="D19" s="30"/>
      <c r="E19" s="55">
        <f>4.1+0.25+0.3</f>
        <v>4.6499999999999995</v>
      </c>
      <c r="F19" s="7" t="s">
        <v>6</v>
      </c>
      <c r="G19" s="653">
        <f>4.1+0.25+0.3</f>
        <v>4.6499999999999995</v>
      </c>
      <c r="H19" s="607">
        <f t="shared" si="0"/>
        <v>0</v>
      </c>
    </row>
    <row r="20" spans="1:8" ht="15" customHeight="1" x14ac:dyDescent="0.2">
      <c r="A20" s="504" t="s">
        <v>522</v>
      </c>
      <c r="B20" s="720" t="s">
        <v>71</v>
      </c>
      <c r="C20" s="717"/>
      <c r="D20" s="718"/>
      <c r="E20" s="719">
        <v>2</v>
      </c>
      <c r="F20" s="720" t="s">
        <v>25</v>
      </c>
      <c r="G20" s="653">
        <v>2</v>
      </c>
      <c r="H20" s="607">
        <f t="shared" si="0"/>
        <v>0</v>
      </c>
    </row>
    <row r="21" spans="1:8" ht="15" customHeight="1" x14ac:dyDescent="0.2">
      <c r="A21" s="189"/>
      <c r="B21" s="492" t="s">
        <v>272</v>
      </c>
      <c r="C21" s="221"/>
      <c r="D21" s="30"/>
      <c r="E21" s="338">
        <f>0.001*E18/(0.25*3.14*(0.0254*E20)^2)</f>
        <v>1.9108280254777072</v>
      </c>
      <c r="F21" s="11" t="s">
        <v>4</v>
      </c>
      <c r="G21" s="699">
        <f>0.001*G18/(0.25*3.14*(0.0254*G20)^2)</f>
        <v>1.9108280254777072</v>
      </c>
      <c r="H21" s="607">
        <f t="shared" si="0"/>
        <v>0</v>
      </c>
    </row>
    <row r="22" spans="1:8" ht="15" customHeight="1" x14ac:dyDescent="0.2">
      <c r="A22" s="504" t="s">
        <v>447</v>
      </c>
      <c r="B22" s="725" t="s">
        <v>29</v>
      </c>
      <c r="C22" s="340"/>
      <c r="D22" s="30"/>
      <c r="E22" s="272">
        <f>(10.672*E19*(0.001*E18/E17)^1.852)/(0.0254*E20)^4.871</f>
        <v>0.31765508890948252</v>
      </c>
      <c r="F22" s="510" t="s">
        <v>2</v>
      </c>
      <c r="G22" s="700">
        <f>(10.672*G19*(0.001*G18/G17)^1.852)/(0.0254*G20)^4.871</f>
        <v>0.31765508890948252</v>
      </c>
      <c r="H22" s="607">
        <f t="shared" si="0"/>
        <v>0</v>
      </c>
    </row>
    <row r="23" spans="1:8" ht="15" customHeight="1" x14ac:dyDescent="0.2">
      <c r="A23" s="189"/>
      <c r="B23" s="492" t="s">
        <v>26</v>
      </c>
      <c r="C23" s="221"/>
      <c r="D23" s="30"/>
      <c r="E23" s="338">
        <f>E21^2/19.6</f>
        <v>0.18628896647709353</v>
      </c>
      <c r="F23" s="11" t="s">
        <v>2</v>
      </c>
      <c r="G23" s="699">
        <f>G21^2/19.6</f>
        <v>0.18628896647709353</v>
      </c>
      <c r="H23" s="607">
        <f t="shared" si="0"/>
        <v>0</v>
      </c>
    </row>
    <row r="24" spans="1:8" ht="15" customHeight="1" x14ac:dyDescent="0.2">
      <c r="A24" s="189"/>
      <c r="B24" s="505" t="s">
        <v>30</v>
      </c>
      <c r="C24" s="693" t="s">
        <v>273</v>
      </c>
      <c r="D24" s="181" t="s">
        <v>274</v>
      </c>
      <c r="E24" s="769" t="s">
        <v>502</v>
      </c>
      <c r="F24" s="30"/>
      <c r="G24" s="695" t="s">
        <v>507</v>
      </c>
      <c r="H24" s="607"/>
    </row>
    <row r="25" spans="1:8" ht="15" customHeight="1" x14ac:dyDescent="0.2">
      <c r="A25" s="504" t="s">
        <v>446</v>
      </c>
      <c r="B25" s="11" t="s">
        <v>277</v>
      </c>
      <c r="C25" s="502">
        <v>0.9</v>
      </c>
      <c r="D25" s="503">
        <v>2</v>
      </c>
      <c r="E25" s="55">
        <f>C25*D25*E23</f>
        <v>0.33532013965876839</v>
      </c>
      <c r="F25" s="692" t="s">
        <v>2</v>
      </c>
      <c r="G25" s="653">
        <f>C25*D25*G23</f>
        <v>0.33532013965876839</v>
      </c>
      <c r="H25" s="607">
        <f t="shared" si="0"/>
        <v>0</v>
      </c>
    </row>
    <row r="26" spans="1:8" ht="15" customHeight="1" x14ac:dyDescent="0.25">
      <c r="A26" s="189"/>
      <c r="B26" s="30"/>
      <c r="C26" s="680" t="s">
        <v>386</v>
      </c>
      <c r="D26" s="30"/>
      <c r="E26" s="30"/>
      <c r="F26" s="30"/>
      <c r="G26" s="679"/>
      <c r="H26" s="797"/>
    </row>
    <row r="27" spans="1:8" ht="22.5" customHeight="1" x14ac:dyDescent="0.2">
      <c r="A27" s="189"/>
      <c r="B27" s="798" t="s">
        <v>266</v>
      </c>
      <c r="C27" s="799"/>
      <c r="D27" s="800"/>
      <c r="E27" s="801">
        <f>E28+E39+E59</f>
        <v>2.4700150932972185</v>
      </c>
      <c r="F27" s="802" t="s">
        <v>2</v>
      </c>
      <c r="G27" s="640">
        <f>G28+G39+G59</f>
        <v>2.4700150932971314</v>
      </c>
      <c r="H27" s="608">
        <f t="shared" si="0"/>
        <v>-8.7041485130612273E-14</v>
      </c>
    </row>
    <row r="28" spans="1:8" ht="15.75" x14ac:dyDescent="0.25">
      <c r="A28" s="189"/>
      <c r="B28" s="724" t="s">
        <v>380</v>
      </c>
      <c r="C28" s="707" t="s">
        <v>268</v>
      </c>
      <c r="D28" s="690"/>
      <c r="E28" s="691">
        <f>E34+SUM(E37:E38)</f>
        <v>0.4316991030116365</v>
      </c>
      <c r="F28" s="692" t="s">
        <v>2</v>
      </c>
      <c r="G28" s="698">
        <f>G34+SUM(G37:G38)</f>
        <v>0.43169910301154923</v>
      </c>
      <c r="H28" s="607">
        <f t="shared" si="0"/>
        <v>-8.7263529735537304E-14</v>
      </c>
    </row>
    <row r="29" spans="1:8" ht="18.75" x14ac:dyDescent="0.35">
      <c r="A29" s="189"/>
      <c r="B29" s="11" t="s">
        <v>269</v>
      </c>
      <c r="C29" s="11" t="s">
        <v>270</v>
      </c>
      <c r="D29" s="11" t="s">
        <v>271</v>
      </c>
      <c r="E29" s="51">
        <v>150</v>
      </c>
      <c r="F29" s="696"/>
      <c r="G29" s="618">
        <v>150</v>
      </c>
      <c r="H29" s="607">
        <f t="shared" si="0"/>
        <v>0</v>
      </c>
    </row>
    <row r="30" spans="1:8" ht="14.25" x14ac:dyDescent="0.2">
      <c r="A30" s="504" t="s">
        <v>514</v>
      </c>
      <c r="B30" s="19" t="s">
        <v>278</v>
      </c>
      <c r="C30" s="20"/>
      <c r="D30" s="30"/>
      <c r="E30" s="55">
        <f>'Parab Tilapias '!E138</f>
        <v>6.8218080459841604</v>
      </c>
      <c r="F30" s="696" t="s">
        <v>14</v>
      </c>
      <c r="G30" s="653">
        <f>'Parab Tilapias '!G138</f>
        <v>6.821808045983464</v>
      </c>
      <c r="H30" s="607">
        <f t="shared" si="0"/>
        <v>-6.9633188104489818E-13</v>
      </c>
    </row>
    <row r="31" spans="1:8" ht="14.25" x14ac:dyDescent="0.2">
      <c r="A31" s="189"/>
      <c r="B31" s="424" t="s">
        <v>27</v>
      </c>
      <c r="C31" s="717"/>
      <c r="D31" s="718"/>
      <c r="E31" s="719">
        <v>2.1</v>
      </c>
      <c r="F31" s="424" t="s">
        <v>6</v>
      </c>
      <c r="G31" s="653">
        <v>2.1</v>
      </c>
      <c r="H31" s="607">
        <f t="shared" si="0"/>
        <v>0</v>
      </c>
    </row>
    <row r="32" spans="1:8" ht="14.25" x14ac:dyDescent="0.2">
      <c r="A32" s="773" t="s">
        <v>522</v>
      </c>
      <c r="B32" s="720" t="s">
        <v>71</v>
      </c>
      <c r="C32" s="717"/>
      <c r="D32" s="718"/>
      <c r="E32" s="719">
        <v>3</v>
      </c>
      <c r="F32" s="720" t="s">
        <v>25</v>
      </c>
      <c r="G32" s="653">
        <v>3</v>
      </c>
      <c r="H32" s="607">
        <f t="shared" si="0"/>
        <v>0</v>
      </c>
    </row>
    <row r="33" spans="1:8" ht="14.25" x14ac:dyDescent="0.2">
      <c r="A33" s="189"/>
      <c r="B33" s="492" t="s">
        <v>272</v>
      </c>
      <c r="C33" s="221"/>
      <c r="D33" s="30"/>
      <c r="E33" s="338">
        <f>0.001*E30/(0.25*3.14*(0.0254*E32)^2)</f>
        <v>1.496648778333006</v>
      </c>
      <c r="F33" s="11" t="s">
        <v>4</v>
      </c>
      <c r="G33" s="699">
        <f>0.001*G30/(0.25*3.14*(0.0254*G32)^2)</f>
        <v>1.4966487783328533</v>
      </c>
      <c r="H33" s="607">
        <f t="shared" si="0"/>
        <v>-1.5276668818842154E-13</v>
      </c>
    </row>
    <row r="34" spans="1:8" ht="14.25" x14ac:dyDescent="0.2">
      <c r="A34" s="504" t="s">
        <v>447</v>
      </c>
      <c r="B34" s="725" t="s">
        <v>29</v>
      </c>
      <c r="C34" s="340"/>
      <c r="D34" s="30"/>
      <c r="E34" s="272">
        <f>(10.672*E31*(0.001*E30/E29)^1.852)/(0.0254*E32)^4.871</f>
        <v>5.6849061407094212E-2</v>
      </c>
      <c r="F34" s="510" t="s">
        <v>2</v>
      </c>
      <c r="G34" s="700">
        <f>(10.672*G31*(0.001*G30/G29)^1.852)/(0.0254*G32)^4.871</f>
        <v>5.6849061407083512E-2</v>
      </c>
      <c r="H34" s="607">
        <f t="shared" si="0"/>
        <v>-1.0699774399824946E-14</v>
      </c>
    </row>
    <row r="35" spans="1:8" ht="14.25" x14ac:dyDescent="0.2">
      <c r="A35" s="189"/>
      <c r="B35" s="492" t="s">
        <v>26</v>
      </c>
      <c r="C35" s="221"/>
      <c r="D35" s="30"/>
      <c r="E35" s="338">
        <f>E33^2/19.6</f>
        <v>0.11428354926967753</v>
      </c>
      <c r="F35" s="11" t="s">
        <v>2</v>
      </c>
      <c r="G35" s="699">
        <f>G33^2/19.6</f>
        <v>0.11428354926965419</v>
      </c>
      <c r="H35" s="607">
        <f t="shared" si="0"/>
        <v>-2.3342439092743916E-14</v>
      </c>
    </row>
    <row r="36" spans="1:8" ht="25.5" x14ac:dyDescent="0.2">
      <c r="A36" s="189"/>
      <c r="B36" s="505" t="s">
        <v>30</v>
      </c>
      <c r="C36" s="693" t="s">
        <v>273</v>
      </c>
      <c r="D36" s="181" t="s">
        <v>274</v>
      </c>
      <c r="E36" s="769" t="s">
        <v>502</v>
      </c>
      <c r="F36" s="30"/>
      <c r="G36" s="695" t="s">
        <v>507</v>
      </c>
      <c r="H36" s="607"/>
    </row>
    <row r="37" spans="1:8" ht="14.25" x14ac:dyDescent="0.2">
      <c r="A37" s="504" t="s">
        <v>511</v>
      </c>
      <c r="B37" s="11" t="s">
        <v>313</v>
      </c>
      <c r="C37" s="502">
        <v>1.48</v>
      </c>
      <c r="D37" s="503">
        <v>1</v>
      </c>
      <c r="E37" s="55">
        <f>C37*D37*E35</f>
        <v>0.16913965291912275</v>
      </c>
      <c r="F37" s="11" t="s">
        <v>2</v>
      </c>
      <c r="G37" s="653">
        <f>C37*D37*$G$35</f>
        <v>0.1691396529190882</v>
      </c>
      <c r="H37" s="607">
        <f t="shared" si="0"/>
        <v>-3.4555691641457997E-14</v>
      </c>
    </row>
    <row r="38" spans="1:8" ht="14.25" x14ac:dyDescent="0.2">
      <c r="A38" s="504" t="s">
        <v>446</v>
      </c>
      <c r="B38" s="11" t="s">
        <v>277</v>
      </c>
      <c r="C38" s="502">
        <v>0.9</v>
      </c>
      <c r="D38" s="503">
        <v>2</v>
      </c>
      <c r="E38" s="55">
        <f>C38*D38*E35</f>
        <v>0.20571038868541955</v>
      </c>
      <c r="F38" s="11" t="s">
        <v>2</v>
      </c>
      <c r="G38" s="653">
        <f>C38*D38*$G$35</f>
        <v>0.20571038868537753</v>
      </c>
      <c r="H38" s="607">
        <f t="shared" si="0"/>
        <v>-4.2021941482062175E-14</v>
      </c>
    </row>
    <row r="39" spans="1:8" ht="15.75" x14ac:dyDescent="0.25">
      <c r="A39" s="189"/>
      <c r="B39" s="724" t="s">
        <v>378</v>
      </c>
      <c r="C39" s="707" t="s">
        <v>268</v>
      </c>
      <c r="D39" s="690"/>
      <c r="E39" s="691">
        <f>E45+SUM(E48:E49)</f>
        <v>1.8025679192615776</v>
      </c>
      <c r="F39" s="692" t="s">
        <v>2</v>
      </c>
      <c r="G39" s="698">
        <f>G45+SUM(G48:G49)</f>
        <v>1.8025679192615776</v>
      </c>
      <c r="H39" s="607">
        <f t="shared" si="0"/>
        <v>0</v>
      </c>
    </row>
    <row r="40" spans="1:8" ht="18.75" x14ac:dyDescent="0.35">
      <c r="A40" s="189"/>
      <c r="B40" s="11" t="s">
        <v>269</v>
      </c>
      <c r="C40" s="11" t="s">
        <v>270</v>
      </c>
      <c r="D40" s="11" t="s">
        <v>271</v>
      </c>
      <c r="E40" s="51">
        <v>150</v>
      </c>
      <c r="F40" s="696"/>
      <c r="G40" s="618">
        <v>150</v>
      </c>
      <c r="H40" s="607">
        <f t="shared" si="0"/>
        <v>0</v>
      </c>
    </row>
    <row r="41" spans="1:8" ht="14.25" x14ac:dyDescent="0.2">
      <c r="A41" s="504" t="s">
        <v>514</v>
      </c>
      <c r="B41" s="19" t="s">
        <v>278</v>
      </c>
      <c r="C41" s="20"/>
      <c r="D41" s="30"/>
      <c r="E41" s="55">
        <f>'Parab Tilapias '!E130</f>
        <v>5.4353683476770964</v>
      </c>
      <c r="F41" s="696" t="s">
        <v>14</v>
      </c>
      <c r="G41" s="653">
        <f>'Parab Tilapias '!G130</f>
        <v>5.4353683476770964</v>
      </c>
      <c r="H41" s="607">
        <f t="shared" si="0"/>
        <v>0</v>
      </c>
    </row>
    <row r="42" spans="1:8" ht="14.25" x14ac:dyDescent="0.2">
      <c r="A42" s="189"/>
      <c r="B42" s="424" t="s">
        <v>27</v>
      </c>
      <c r="C42" s="717"/>
      <c r="D42" s="718"/>
      <c r="E42" s="719">
        <f>1.3+1.7+0.75</f>
        <v>3.75</v>
      </c>
      <c r="F42" s="424" t="s">
        <v>6</v>
      </c>
      <c r="G42" s="653">
        <f>1.3+1.7+0.75</f>
        <v>3.75</v>
      </c>
      <c r="H42" s="607">
        <f t="shared" si="0"/>
        <v>0</v>
      </c>
    </row>
    <row r="43" spans="1:8" ht="14.25" x14ac:dyDescent="0.2">
      <c r="A43" s="773" t="s">
        <v>522</v>
      </c>
      <c r="B43" s="720" t="s">
        <v>71</v>
      </c>
      <c r="C43" s="717"/>
      <c r="D43" s="718"/>
      <c r="E43" s="719">
        <v>2</v>
      </c>
      <c r="F43" s="720" t="s">
        <v>25</v>
      </c>
      <c r="G43" s="653">
        <v>2</v>
      </c>
      <c r="H43" s="607">
        <f t="shared" si="0"/>
        <v>0</v>
      </c>
    </row>
    <row r="44" spans="1:8" ht="14.25" x14ac:dyDescent="0.2">
      <c r="A44" s="189"/>
      <c r="B44" s="492" t="s">
        <v>272</v>
      </c>
      <c r="C44" s="221"/>
      <c r="D44" s="30"/>
      <c r="E44" s="338">
        <f>0.001*E41/(0.25*3.14*(0.0254*E43)^2)</f>
        <v>2.6830693594188144</v>
      </c>
      <c r="F44" s="11" t="s">
        <v>4</v>
      </c>
      <c r="G44" s="699">
        <f>0.001*G41/(0.25*3.14*(0.0254*G43)^2)</f>
        <v>2.6830693594188144</v>
      </c>
      <c r="H44" s="607">
        <f t="shared" si="0"/>
        <v>0</v>
      </c>
    </row>
    <row r="45" spans="1:8" ht="14.25" x14ac:dyDescent="0.2">
      <c r="A45" s="504" t="s">
        <v>447</v>
      </c>
      <c r="B45" s="725" t="s">
        <v>29</v>
      </c>
      <c r="C45" s="340"/>
      <c r="D45" s="30"/>
      <c r="E45" s="272">
        <f>(10.672*E42*(0.001*E41/E40)^1.852)/(0.0254*E43)^4.871</f>
        <v>0.48032810932139852</v>
      </c>
      <c r="F45" s="510" t="s">
        <v>2</v>
      </c>
      <c r="G45" s="700">
        <f>(10.672*G42*(0.001*G41/G40)^1.852)/(0.0254*G43)^4.871</f>
        <v>0.48032810932139852</v>
      </c>
      <c r="H45" s="607">
        <f t="shared" si="0"/>
        <v>0</v>
      </c>
    </row>
    <row r="46" spans="1:8" ht="14.25" x14ac:dyDescent="0.2">
      <c r="A46" s="189"/>
      <c r="B46" s="492" t="s">
        <v>26</v>
      </c>
      <c r="C46" s="221"/>
      <c r="D46" s="30"/>
      <c r="E46" s="338">
        <f>E44^2/19.6</f>
        <v>0.3672888360944942</v>
      </c>
      <c r="F46" s="11" t="s">
        <v>2</v>
      </c>
      <c r="G46" s="699">
        <f>G44^2/19.6</f>
        <v>0.3672888360944942</v>
      </c>
      <c r="H46" s="607">
        <f t="shared" si="0"/>
        <v>0</v>
      </c>
    </row>
    <row r="47" spans="1:8" ht="25.5" x14ac:dyDescent="0.2">
      <c r="A47" s="189"/>
      <c r="B47" s="505" t="s">
        <v>30</v>
      </c>
      <c r="C47" s="693" t="s">
        <v>273</v>
      </c>
      <c r="D47" s="181" t="s">
        <v>274</v>
      </c>
      <c r="E47" s="769" t="s">
        <v>502</v>
      </c>
      <c r="F47" s="770"/>
      <c r="G47" s="771" t="s">
        <v>507</v>
      </c>
      <c r="H47" s="772"/>
    </row>
    <row r="48" spans="1:8" ht="14.25" x14ac:dyDescent="0.2">
      <c r="A48" s="504" t="s">
        <v>446</v>
      </c>
      <c r="B48" s="11" t="s">
        <v>277</v>
      </c>
      <c r="C48" s="502">
        <v>0.9</v>
      </c>
      <c r="D48" s="503">
        <v>2</v>
      </c>
      <c r="E48" s="55">
        <f>C48*D48*E46</f>
        <v>0.66111990497008954</v>
      </c>
      <c r="F48" s="11" t="s">
        <v>2</v>
      </c>
      <c r="G48" s="653">
        <f>C48*D48*$G$46</f>
        <v>0.66111990497008954</v>
      </c>
      <c r="H48" s="607">
        <f t="shared" si="0"/>
        <v>0</v>
      </c>
    </row>
    <row r="49" spans="1:8" ht="14.25" x14ac:dyDescent="0.2">
      <c r="A49" s="504" t="s">
        <v>446</v>
      </c>
      <c r="B49" s="11" t="s">
        <v>312</v>
      </c>
      <c r="C49" s="502">
        <v>1.8</v>
      </c>
      <c r="D49" s="503">
        <v>1</v>
      </c>
      <c r="E49" s="55">
        <f>C49*D49*E46</f>
        <v>0.66111990497008954</v>
      </c>
      <c r="F49" s="11" t="s">
        <v>2</v>
      </c>
      <c r="G49" s="653">
        <f>C49*D49*$G$46</f>
        <v>0.66111990497008954</v>
      </c>
      <c r="H49" s="607">
        <f t="shared" si="0"/>
        <v>0</v>
      </c>
    </row>
    <row r="50" spans="1:8" ht="15" x14ac:dyDescent="0.25">
      <c r="A50" s="189"/>
      <c r="B50" s="705" t="s">
        <v>385</v>
      </c>
      <c r="C50" s="706"/>
      <c r="D50" s="706"/>
      <c r="E50" s="706"/>
      <c r="G50" s="679"/>
      <c r="H50" s="797"/>
    </row>
    <row r="51" spans="1:8" ht="18.75" x14ac:dyDescent="0.35">
      <c r="A51" s="189"/>
      <c r="B51" s="11" t="s">
        <v>269</v>
      </c>
      <c r="C51" s="11" t="s">
        <v>270</v>
      </c>
      <c r="D51" s="11" t="s">
        <v>271</v>
      </c>
      <c r="E51" s="51">
        <v>150</v>
      </c>
      <c r="F51" s="696"/>
      <c r="G51" s="618">
        <v>150</v>
      </c>
      <c r="H51" s="607">
        <f t="shared" si="0"/>
        <v>0</v>
      </c>
    </row>
    <row r="52" spans="1:8" ht="14.25" x14ac:dyDescent="0.2">
      <c r="A52" s="189"/>
      <c r="B52" s="726" t="s">
        <v>384</v>
      </c>
      <c r="C52" s="20"/>
      <c r="D52" s="20"/>
      <c r="E52" s="65">
        <f>E41</f>
        <v>5.4353683476770964</v>
      </c>
      <c r="F52" s="7" t="s">
        <v>14</v>
      </c>
      <c r="G52" s="619">
        <f>G41</f>
        <v>5.4353683476770964</v>
      </c>
      <c r="H52" s="607">
        <f t="shared" si="0"/>
        <v>0</v>
      </c>
    </row>
    <row r="53" spans="1:8" ht="14.25" x14ac:dyDescent="0.2">
      <c r="A53" s="773" t="s">
        <v>522</v>
      </c>
      <c r="B53" s="720" t="s">
        <v>71</v>
      </c>
      <c r="C53" s="717"/>
      <c r="D53" s="717"/>
      <c r="E53" s="721">
        <v>2</v>
      </c>
      <c r="F53" s="720" t="s">
        <v>25</v>
      </c>
      <c r="G53" s="621">
        <v>2</v>
      </c>
      <c r="H53" s="607">
        <f t="shared" si="0"/>
        <v>0</v>
      </c>
    </row>
    <row r="54" spans="1:8" ht="14.25" x14ac:dyDescent="0.2">
      <c r="A54" s="189"/>
      <c r="B54" s="22" t="s">
        <v>388</v>
      </c>
      <c r="C54" s="20"/>
      <c r="D54" s="20"/>
      <c r="E54" s="508">
        <f>(3.14*(0.0254*E53)^2)/4</f>
        <v>2.0258023999999999E-3</v>
      </c>
      <c r="F54" s="22" t="s">
        <v>3</v>
      </c>
      <c r="G54" s="708">
        <f>(3.14*(0.0254*G53)^2)/4</f>
        <v>2.0258023999999999E-3</v>
      </c>
      <c r="H54" s="607">
        <f t="shared" si="0"/>
        <v>0</v>
      </c>
    </row>
    <row r="55" spans="1:8" ht="14.25" x14ac:dyDescent="0.2">
      <c r="A55" s="189"/>
      <c r="B55" s="727" t="s">
        <v>389</v>
      </c>
      <c r="C55" s="367"/>
      <c r="D55" s="367"/>
      <c r="E55" s="722">
        <v>6</v>
      </c>
      <c r="F55" s="572" t="s">
        <v>7</v>
      </c>
      <c r="G55" s="709">
        <v>6</v>
      </c>
      <c r="H55" s="607">
        <f t="shared" si="0"/>
        <v>0</v>
      </c>
    </row>
    <row r="56" spans="1:8" ht="14.25" x14ac:dyDescent="0.2">
      <c r="A56" s="189"/>
      <c r="B56" s="424" t="s">
        <v>381</v>
      </c>
      <c r="C56" s="717"/>
      <c r="D56" s="717"/>
      <c r="E56" s="719">
        <v>0.7</v>
      </c>
      <c r="F56" s="424" t="s">
        <v>2</v>
      </c>
      <c r="G56" s="653">
        <v>0.7</v>
      </c>
      <c r="H56" s="607">
        <f t="shared" si="0"/>
        <v>0</v>
      </c>
    </row>
    <row r="57" spans="1:8" ht="14.25" x14ac:dyDescent="0.2">
      <c r="A57" s="189"/>
      <c r="B57" s="22" t="s">
        <v>382</v>
      </c>
      <c r="C57" s="20"/>
      <c r="E57" s="509">
        <f>E52/E55</f>
        <v>0.90589472461284937</v>
      </c>
      <c r="F57" s="22" t="s">
        <v>14</v>
      </c>
      <c r="G57" s="710">
        <f>G52/G55</f>
        <v>0.90589472461284937</v>
      </c>
      <c r="H57" s="607">
        <f t="shared" si="0"/>
        <v>0</v>
      </c>
    </row>
    <row r="58" spans="1:8" ht="14.25" x14ac:dyDescent="0.2">
      <c r="A58" s="189"/>
      <c r="B58" s="11" t="s">
        <v>390</v>
      </c>
      <c r="D58" s="20" t="s">
        <v>387</v>
      </c>
      <c r="E58" s="509">
        <v>0.03</v>
      </c>
      <c r="F58" s="22"/>
      <c r="G58" s="710">
        <v>0.03</v>
      </c>
      <c r="H58" s="607">
        <f t="shared" si="0"/>
        <v>0</v>
      </c>
    </row>
    <row r="59" spans="1:8" ht="14.25" x14ac:dyDescent="0.2">
      <c r="A59" s="189"/>
      <c r="B59" s="725" t="s">
        <v>376</v>
      </c>
      <c r="C59" s="340"/>
      <c r="D59" s="340"/>
      <c r="E59" s="509">
        <f>SUM(E62:E74)</f>
        <v>0.23574807102400466</v>
      </c>
      <c r="F59" s="510" t="s">
        <v>2</v>
      </c>
      <c r="G59" s="710">
        <f>SUM(G62:G74)</f>
        <v>0.23574807102400466</v>
      </c>
      <c r="H59" s="607">
        <f t="shared" si="0"/>
        <v>0</v>
      </c>
    </row>
    <row r="60" spans="1:8" ht="14.25" x14ac:dyDescent="0.2">
      <c r="B60" s="152" t="s">
        <v>383</v>
      </c>
      <c r="C60" s="152" t="s">
        <v>508</v>
      </c>
      <c r="D60" s="152" t="s">
        <v>509</v>
      </c>
      <c r="E60" s="152" t="s">
        <v>510</v>
      </c>
      <c r="F60" s="184"/>
      <c r="G60" s="711" t="s">
        <v>510</v>
      </c>
      <c r="H60" s="152"/>
    </row>
    <row r="61" spans="1:8" ht="14.25" x14ac:dyDescent="0.2">
      <c r="B61" s="154"/>
      <c r="C61" s="154" t="s">
        <v>25</v>
      </c>
      <c r="D61" s="154" t="s">
        <v>14</v>
      </c>
      <c r="E61" s="154" t="s">
        <v>2</v>
      </c>
      <c r="F61" s="184"/>
      <c r="G61" s="712" t="s">
        <v>2</v>
      </c>
      <c r="H61" s="154"/>
    </row>
    <row r="62" spans="1:8" ht="14.25" x14ac:dyDescent="0.2">
      <c r="B62" s="713">
        <v>1</v>
      </c>
      <c r="C62" s="714">
        <v>2</v>
      </c>
      <c r="D62" s="714">
        <f>E52</f>
        <v>5.4353683476770964</v>
      </c>
      <c r="E62" s="386">
        <f>(10.672*$E$56*(0.001*D62/$E$51)^1.852)/(0.0254*C62)^4.871</f>
        <v>8.9661247073327718E-2</v>
      </c>
      <c r="F62" s="715"/>
      <c r="G62" s="716">
        <f>(10.672*$G$56*(0.001*D62/$G$51)^1.852)/(0.0254*C62)^4.871</f>
        <v>8.9661247073327718E-2</v>
      </c>
      <c r="H62" s="607">
        <f t="shared" ref="H62:H74" si="2">G62-E62</f>
        <v>0</v>
      </c>
    </row>
    <row r="63" spans="1:8" ht="14.25" x14ac:dyDescent="0.2">
      <c r="B63" s="713">
        <f>B62+1</f>
        <v>2</v>
      </c>
      <c r="C63" s="714">
        <v>2</v>
      </c>
      <c r="D63" s="714">
        <f>MAX(0,D62-$E$57)</f>
        <v>4.5294736230642467</v>
      </c>
      <c r="E63" s="386">
        <f t="shared" ref="E63:E74" si="3">(10.672*$E$56*(0.001*D63/$E$51)^1.852)/(0.0254*C63)^4.871</f>
        <v>6.3967754750054062E-2</v>
      </c>
      <c r="F63" s="715"/>
      <c r="G63" s="716">
        <f t="shared" ref="G63:G74" si="4">(10.672*$G$56*(0.001*D63/$G$51)^1.852)/(0.0254*C63)^4.871</f>
        <v>6.3967754750054062E-2</v>
      </c>
      <c r="H63" s="607">
        <f t="shared" si="2"/>
        <v>0</v>
      </c>
    </row>
    <row r="64" spans="1:8" ht="14.25" x14ac:dyDescent="0.2">
      <c r="B64" s="713">
        <f t="shared" ref="B64:B74" si="5">B63+1</f>
        <v>3</v>
      </c>
      <c r="C64" s="714">
        <v>2</v>
      </c>
      <c r="D64" s="714">
        <f t="shared" ref="D64:D74" si="6">MAX(0,D63-$E$57)</f>
        <v>3.6235788984513975</v>
      </c>
      <c r="E64" s="386">
        <f t="shared" si="3"/>
        <v>4.2313968974041799E-2</v>
      </c>
      <c r="F64" s="184"/>
      <c r="G64" s="716">
        <f t="shared" si="4"/>
        <v>4.2313968974041799E-2</v>
      </c>
      <c r="H64" s="607">
        <f t="shared" si="2"/>
        <v>0</v>
      </c>
    </row>
    <row r="65" spans="2:8" ht="14.25" x14ac:dyDescent="0.2">
      <c r="B65" s="713">
        <f t="shared" si="5"/>
        <v>4</v>
      </c>
      <c r="C65" s="714">
        <v>2</v>
      </c>
      <c r="D65" s="714">
        <f t="shared" si="6"/>
        <v>2.7176841738385482</v>
      </c>
      <c r="E65" s="386">
        <f t="shared" si="3"/>
        <v>2.4836890526789144E-2</v>
      </c>
      <c r="F65" s="184"/>
      <c r="G65" s="716">
        <f t="shared" si="4"/>
        <v>2.4836890526789144E-2</v>
      </c>
      <c r="H65" s="607">
        <f t="shared" si="2"/>
        <v>0</v>
      </c>
    </row>
    <row r="66" spans="2:8" ht="14.25" x14ac:dyDescent="0.2">
      <c r="B66" s="713">
        <f t="shared" si="5"/>
        <v>5</v>
      </c>
      <c r="C66" s="714">
        <v>2</v>
      </c>
      <c r="D66" s="714">
        <f t="shared" si="6"/>
        <v>1.811789449225699</v>
      </c>
      <c r="E66" s="386">
        <f t="shared" si="3"/>
        <v>1.1721311597447798E-2</v>
      </c>
      <c r="F66" s="184"/>
      <c r="G66" s="716">
        <f t="shared" si="4"/>
        <v>1.1721311597447798E-2</v>
      </c>
      <c r="H66" s="607">
        <f t="shared" si="2"/>
        <v>0</v>
      </c>
    </row>
    <row r="67" spans="2:8" ht="14.25" x14ac:dyDescent="0.2">
      <c r="B67" s="713">
        <f t="shared" si="5"/>
        <v>6</v>
      </c>
      <c r="C67" s="714">
        <v>2</v>
      </c>
      <c r="D67" s="714">
        <f t="shared" si="6"/>
        <v>0.90589472461284959</v>
      </c>
      <c r="E67" s="386">
        <f t="shared" si="3"/>
        <v>3.2468981023441195E-3</v>
      </c>
      <c r="F67" s="184"/>
      <c r="G67" s="716">
        <f t="shared" si="4"/>
        <v>3.2468981023441195E-3</v>
      </c>
      <c r="H67" s="607">
        <f t="shared" si="2"/>
        <v>0</v>
      </c>
    </row>
    <row r="68" spans="2:8" ht="14.25" x14ac:dyDescent="0.2">
      <c r="B68" s="713">
        <f t="shared" si="5"/>
        <v>7</v>
      </c>
      <c r="C68" s="714">
        <v>2</v>
      </c>
      <c r="D68" s="714">
        <f t="shared" si="6"/>
        <v>2.2204460492503131E-16</v>
      </c>
      <c r="E68" s="386">
        <f t="shared" si="3"/>
        <v>3.9862818281683699E-32</v>
      </c>
      <c r="F68" s="184"/>
      <c r="G68" s="716">
        <f t="shared" si="4"/>
        <v>3.9862818281683699E-32</v>
      </c>
      <c r="H68" s="607">
        <f t="shared" si="2"/>
        <v>0</v>
      </c>
    </row>
    <row r="69" spans="2:8" ht="14.25" x14ac:dyDescent="0.2">
      <c r="B69" s="713">
        <f t="shared" si="5"/>
        <v>8</v>
      </c>
      <c r="C69" s="714">
        <v>2</v>
      </c>
      <c r="D69" s="714">
        <f t="shared" si="6"/>
        <v>0</v>
      </c>
      <c r="E69" s="386">
        <f t="shared" si="3"/>
        <v>0</v>
      </c>
      <c r="F69" s="184"/>
      <c r="G69" s="716">
        <f t="shared" si="4"/>
        <v>0</v>
      </c>
      <c r="H69" s="607">
        <f t="shared" si="2"/>
        <v>0</v>
      </c>
    </row>
    <row r="70" spans="2:8" ht="14.25" x14ac:dyDescent="0.2">
      <c r="B70" s="713">
        <f t="shared" si="5"/>
        <v>9</v>
      </c>
      <c r="C70" s="714">
        <v>2</v>
      </c>
      <c r="D70" s="714">
        <f t="shared" si="6"/>
        <v>0</v>
      </c>
      <c r="E70" s="386">
        <f t="shared" si="3"/>
        <v>0</v>
      </c>
      <c r="F70" s="184"/>
      <c r="G70" s="716">
        <f t="shared" si="4"/>
        <v>0</v>
      </c>
      <c r="H70" s="607">
        <f t="shared" si="2"/>
        <v>0</v>
      </c>
    </row>
    <row r="71" spans="2:8" ht="14.25" x14ac:dyDescent="0.2">
      <c r="B71" s="713">
        <f t="shared" si="5"/>
        <v>10</v>
      </c>
      <c r="C71" s="714">
        <v>2</v>
      </c>
      <c r="D71" s="714">
        <f t="shared" si="6"/>
        <v>0</v>
      </c>
      <c r="E71" s="386">
        <f t="shared" si="3"/>
        <v>0</v>
      </c>
      <c r="F71" s="184"/>
      <c r="G71" s="716">
        <f t="shared" si="4"/>
        <v>0</v>
      </c>
      <c r="H71" s="607">
        <f t="shared" si="2"/>
        <v>0</v>
      </c>
    </row>
    <row r="72" spans="2:8" ht="14.25" x14ac:dyDescent="0.2">
      <c r="B72" s="713">
        <f t="shared" si="5"/>
        <v>11</v>
      </c>
      <c r="C72" s="714">
        <v>2</v>
      </c>
      <c r="D72" s="714">
        <f t="shared" si="6"/>
        <v>0</v>
      </c>
      <c r="E72" s="386">
        <f t="shared" si="3"/>
        <v>0</v>
      </c>
      <c r="F72" s="184"/>
      <c r="G72" s="716">
        <f t="shared" si="4"/>
        <v>0</v>
      </c>
      <c r="H72" s="607">
        <f t="shared" si="2"/>
        <v>0</v>
      </c>
    </row>
    <row r="73" spans="2:8" ht="14.25" x14ac:dyDescent="0.2">
      <c r="B73" s="713">
        <f t="shared" si="5"/>
        <v>12</v>
      </c>
      <c r="C73" s="714">
        <v>2</v>
      </c>
      <c r="D73" s="714">
        <f t="shared" si="6"/>
        <v>0</v>
      </c>
      <c r="E73" s="386">
        <f t="shared" si="3"/>
        <v>0</v>
      </c>
      <c r="F73" s="184"/>
      <c r="G73" s="716">
        <f t="shared" si="4"/>
        <v>0</v>
      </c>
      <c r="H73" s="607">
        <f t="shared" si="2"/>
        <v>0</v>
      </c>
    </row>
    <row r="74" spans="2:8" ht="14.25" x14ac:dyDescent="0.2">
      <c r="B74" s="713">
        <f t="shared" si="5"/>
        <v>13</v>
      </c>
      <c r="C74" s="714">
        <v>2</v>
      </c>
      <c r="D74" s="714">
        <f t="shared" si="6"/>
        <v>0</v>
      </c>
      <c r="E74" s="386">
        <f t="shared" si="3"/>
        <v>0</v>
      </c>
      <c r="F74" s="184"/>
      <c r="G74" s="716">
        <f t="shared" si="4"/>
        <v>0</v>
      </c>
      <c r="H74" s="607">
        <f t="shared" si="2"/>
        <v>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2CEA9-9693-42E4-A0B6-F332056C7051}">
  <dimension ref="A12:Q76"/>
  <sheetViews>
    <sheetView showGridLines="0" topLeftCell="A13" zoomScale="75" zoomScaleNormal="75" workbookViewId="0">
      <selection activeCell="B19" sqref="B19"/>
    </sheetView>
  </sheetViews>
  <sheetFormatPr baseColWidth="10" defaultRowHeight="12.75" x14ac:dyDescent="0.2"/>
  <cols>
    <col min="1" max="1" width="30.5703125" customWidth="1"/>
    <col min="2" max="6" width="20.7109375" customWidth="1"/>
    <col min="7" max="7" width="17.5703125" customWidth="1"/>
  </cols>
  <sheetData>
    <row r="12" spans="1:7" ht="31.5" customHeight="1" x14ac:dyDescent="0.25">
      <c r="A12" s="356" t="s">
        <v>524</v>
      </c>
    </row>
    <row r="13" spans="1:7" ht="15" x14ac:dyDescent="0.2">
      <c r="A13" s="352" t="s">
        <v>356</v>
      </c>
      <c r="B13" s="353">
        <f>'Parrilla de Aireación'!$E$41</f>
        <v>5.6926714892407366</v>
      </c>
      <c r="C13" s="354" t="s">
        <v>2</v>
      </c>
      <c r="D13" s="355"/>
    </row>
    <row r="14" spans="1:7" ht="15" x14ac:dyDescent="0.2">
      <c r="A14" s="919" t="s">
        <v>357</v>
      </c>
      <c r="B14" s="357" t="s">
        <v>45</v>
      </c>
      <c r="C14" s="358" t="s">
        <v>14</v>
      </c>
    </row>
    <row r="15" spans="1:7" ht="15" x14ac:dyDescent="0.2">
      <c r="A15" s="920"/>
      <c r="B15" s="360">
        <f>'Parrilla de Aireación'!$E$37</f>
        <v>388.33470719999997</v>
      </c>
      <c r="C15" s="359">
        <f>'Parrilla de Aireación'!$F$37</f>
        <v>24.516079999999999</v>
      </c>
      <c r="D15" s="62"/>
    </row>
    <row r="16" spans="1:7" ht="36" customHeight="1" x14ac:dyDescent="0.2">
      <c r="A16" s="19" t="s">
        <v>56</v>
      </c>
      <c r="B16" s="43" t="s">
        <v>287</v>
      </c>
      <c r="C16" s="43" t="s">
        <v>167</v>
      </c>
      <c r="D16" s="373"/>
      <c r="E16" s="374"/>
      <c r="F16" s="342"/>
      <c r="G16" s="343"/>
    </row>
    <row r="17" spans="1:17" ht="18" customHeight="1" x14ac:dyDescent="0.3">
      <c r="A17" s="19" t="s">
        <v>57</v>
      </c>
      <c r="B17" s="43" t="s">
        <v>288</v>
      </c>
      <c r="C17" s="43" t="s">
        <v>228</v>
      </c>
      <c r="D17" s="373"/>
      <c r="E17" s="374"/>
      <c r="F17" s="344"/>
      <c r="G17" s="95"/>
      <c r="J17" s="341"/>
    </row>
    <row r="18" spans="1:17" ht="18" customHeight="1" x14ac:dyDescent="0.2">
      <c r="A18" s="19" t="s">
        <v>58</v>
      </c>
      <c r="B18" s="43" t="s">
        <v>525</v>
      </c>
      <c r="C18" s="43" t="s">
        <v>226</v>
      </c>
      <c r="D18" s="373"/>
      <c r="E18" s="374"/>
      <c r="F18" s="344"/>
      <c r="G18" s="345"/>
    </row>
    <row r="19" spans="1:17" ht="18" customHeight="1" x14ac:dyDescent="0.2">
      <c r="A19" s="19" t="s">
        <v>59</v>
      </c>
      <c r="B19" s="206">
        <v>1.1599999999999999</v>
      </c>
      <c r="C19" s="44">
        <v>1150</v>
      </c>
      <c r="D19" s="375"/>
      <c r="E19" s="376"/>
      <c r="F19" s="346"/>
      <c r="G19" s="347"/>
    </row>
    <row r="20" spans="1:17" ht="18" customHeight="1" x14ac:dyDescent="0.2">
      <c r="A20" s="19" t="s">
        <v>60</v>
      </c>
      <c r="B20" s="44" t="s">
        <v>289</v>
      </c>
      <c r="C20" s="44" t="s">
        <v>289</v>
      </c>
      <c r="D20" s="375"/>
      <c r="E20" s="376"/>
      <c r="F20" s="348"/>
      <c r="G20" s="347"/>
    </row>
    <row r="21" spans="1:17" ht="18" customHeight="1" x14ac:dyDescent="0.3">
      <c r="A21" s="188" t="s">
        <v>61</v>
      </c>
      <c r="B21" s="207">
        <v>0.82</v>
      </c>
      <c r="C21" s="45">
        <v>0.82</v>
      </c>
      <c r="D21" s="377"/>
      <c r="E21" s="378"/>
      <c r="F21" s="349"/>
      <c r="G21" s="350"/>
      <c r="L21" s="341"/>
    </row>
    <row r="22" spans="1:17" ht="18" customHeight="1" x14ac:dyDescent="0.2">
      <c r="A22" s="19" t="s">
        <v>62</v>
      </c>
      <c r="B22" s="42" t="s">
        <v>227</v>
      </c>
      <c r="C22" s="42" t="s">
        <v>227</v>
      </c>
      <c r="D22" s="379"/>
      <c r="E22" s="374"/>
      <c r="F22" s="291"/>
      <c r="G22" s="95"/>
    </row>
    <row r="25" spans="1:17" ht="20.25" x14ac:dyDescent="0.3">
      <c r="Q25" s="341"/>
    </row>
    <row r="27" spans="1:17" ht="20.25" x14ac:dyDescent="0.3">
      <c r="B27" s="341" t="s">
        <v>354</v>
      </c>
      <c r="H27" s="351" t="s">
        <v>355</v>
      </c>
      <c r="I27" s="341"/>
    </row>
    <row r="49" spans="3:3" ht="20.25" x14ac:dyDescent="0.3">
      <c r="C49" s="341"/>
    </row>
    <row r="70" spans="2:8" ht="20.25" x14ac:dyDescent="0.3">
      <c r="B70" s="341"/>
    </row>
    <row r="73" spans="2:8" ht="20.25" x14ac:dyDescent="0.3">
      <c r="H73" s="341"/>
    </row>
    <row r="76" spans="2:8" ht="20.25" x14ac:dyDescent="0.3">
      <c r="C76" s="341"/>
    </row>
  </sheetData>
  <mergeCells count="1">
    <mergeCell ref="A14:A1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Parrilla de Aireación</vt:lpstr>
      <vt:lpstr>Parab Tilapias </vt:lpstr>
      <vt:lpstr>Suministro de Alimento y O2</vt:lpstr>
      <vt:lpstr>Agua-T(°C)</vt:lpstr>
      <vt:lpstr>Tuberia Aireación Estanques</vt:lpstr>
      <vt:lpstr>Tubería hacia Filtro</vt:lpstr>
      <vt:lpstr>Tuberías Varias</vt:lpstr>
      <vt:lpstr>Alternativas Bombas Aireación</vt:lpstr>
      <vt:lpstr>'Parab Tilapias '!_Hlk150933546</vt:lpstr>
      <vt:lpstr>'Parab Tilapias '!Área_de_impresión</vt:lpstr>
    </vt:vector>
  </TitlesOfParts>
  <Company>INGENIERO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PAEZ</dc:creator>
  <dc:description/>
  <cp:lastModifiedBy>Carlos Paez</cp:lastModifiedBy>
  <cp:revision>1</cp:revision>
  <cp:lastPrinted>2017-03-28T13:54:19Z</cp:lastPrinted>
  <dcterms:created xsi:type="dcterms:W3CDTF">2004-01-23T13:31:54Z</dcterms:created>
  <dcterms:modified xsi:type="dcterms:W3CDTF">2024-05-09T16:43:51Z</dcterms:modified>
  <dc:language>es-CO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INGENIERO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